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E71" lockStructure="1"/>
  <bookViews>
    <workbookView xWindow="-15" yWindow="6090" windowWidth="19215" windowHeight="2055" tabRatio="566"/>
  </bookViews>
  <sheets>
    <sheet name="ESTIMATOR" sheetId="1" r:id="rId1"/>
    <sheet name="CHART" sheetId="11" r:id="rId2"/>
    <sheet name="WAGE BASE" sheetId="12" r:id="rId3"/>
    <sheet name="CYCLES" sheetId="13" r:id="rId4"/>
    <sheet name="PRIORITIES" sheetId="9" r:id="rId5"/>
    <sheet name="TAX TABLES" sheetId="6" r:id="rId6"/>
    <sheet name="LEVY TABLES" sheetId="8" r:id="rId7"/>
    <sheet name="OPTIONS" sheetId="2" r:id="rId8"/>
    <sheet name="Sheet1" sheetId="14" r:id="rId9"/>
  </sheets>
  <definedNames>
    <definedName name="ASRSeligibleWage">'WAGE BASE'!$H$31</definedName>
    <definedName name="CORPeligibleWage">'WAGE BASE'!$J$31</definedName>
    <definedName name="DisposableIncomeBKSOCG">'WAGE BASE'!$L$88</definedName>
    <definedName name="DisposableIncomeFSLAWG">'WAGE BASE'!$N$88</definedName>
    <definedName name="DisposableIncomeTaxLevy">'WAGE BASE'!$M$88</definedName>
    <definedName name="EORPeligibleWage">'WAGE BASE'!$K$31</definedName>
    <definedName name="FederalTaxableWage">'WAGE BASE'!$F$49</definedName>
    <definedName name="FICATaxable">'WAGE BASE'!$G$51</definedName>
    <definedName name="_xlnm.Print_Area" localSheetId="3">CYCLES!$B$2:$P$47</definedName>
    <definedName name="_xlnm.Print_Area" localSheetId="0">ESTIMATOR!$A$1:$AD$94</definedName>
    <definedName name="_xlnm.Print_Area" localSheetId="4">PRIORITIES!$B$2:$K$49</definedName>
    <definedName name="_xlnm.Print_Area" localSheetId="5">'TAX TABLES'!$A$1:$X$72</definedName>
    <definedName name="_xlnm.Print_Area" localSheetId="2">'WAGE BASE'!$B$2:$P$90</definedName>
    <definedName name="PSRSeligibleWage">'WAGE BASE'!$I$31</definedName>
    <definedName name="solver_adj" localSheetId="3" hidden="1">CYCLES!#REF!</definedName>
    <definedName name="solver_adj" localSheetId="0" hidden="1">ESTIMATOR!$AA$43</definedName>
    <definedName name="solver_adj" localSheetId="4" hidden="1">PRIORITIES!#REF!</definedName>
    <definedName name="solver_adj" localSheetId="2" hidden="1">'WAGE BASE'!#REF!</definedName>
    <definedName name="solver_cvg" localSheetId="3" hidden="1">0.0001</definedName>
    <definedName name="solver_cvg" localSheetId="0" hidden="1">0.0001</definedName>
    <definedName name="solver_cvg" localSheetId="4" hidden="1">0.0001</definedName>
    <definedName name="solver_cvg" localSheetId="2" hidden="1">0.0001</definedName>
    <definedName name="solver_drv" localSheetId="3" hidden="1">1</definedName>
    <definedName name="solver_drv" localSheetId="0" hidden="1">1</definedName>
    <definedName name="solver_drv" localSheetId="4" hidden="1">1</definedName>
    <definedName name="solver_drv" localSheetId="2" hidden="1">1</definedName>
    <definedName name="solver_eng" localSheetId="3" hidden="1">2</definedName>
    <definedName name="solver_eng" localSheetId="0" hidden="1">2</definedName>
    <definedName name="solver_eng" localSheetId="4" hidden="1">2</definedName>
    <definedName name="solver_eng" localSheetId="2" hidden="1">2</definedName>
    <definedName name="solver_est" localSheetId="3" hidden="1">1</definedName>
    <definedName name="solver_est" localSheetId="0" hidden="1">1</definedName>
    <definedName name="solver_est" localSheetId="4" hidden="1">1</definedName>
    <definedName name="solver_est" localSheetId="2" hidden="1">1</definedName>
    <definedName name="solver_itr" localSheetId="3" hidden="1">2147483647</definedName>
    <definedName name="solver_itr" localSheetId="0" hidden="1">2147483647</definedName>
    <definedName name="solver_itr" localSheetId="4" hidden="1">2147483647</definedName>
    <definedName name="solver_itr" localSheetId="2" hidden="1">2147483647</definedName>
    <definedName name="solver_lhs1" localSheetId="0" hidden="1">ESTIMATOR!$AA$88</definedName>
    <definedName name="solver_lhs1" localSheetId="2" hidden="1">'WAGE BASE'!#REF!</definedName>
    <definedName name="solver_mip" localSheetId="3" hidden="1">2147483647</definedName>
    <definedName name="solver_mip" localSheetId="0" hidden="1">2147483647</definedName>
    <definedName name="solver_mip" localSheetId="4" hidden="1">2147483647</definedName>
    <definedName name="solver_mip" localSheetId="2" hidden="1">2147483647</definedName>
    <definedName name="solver_mni" localSheetId="3" hidden="1">30</definedName>
    <definedName name="solver_mni" localSheetId="0" hidden="1">30</definedName>
    <definedName name="solver_mni" localSheetId="4" hidden="1">30</definedName>
    <definedName name="solver_mni" localSheetId="2" hidden="1">30</definedName>
    <definedName name="solver_mrt" localSheetId="3" hidden="1">0.075</definedName>
    <definedName name="solver_mrt" localSheetId="0" hidden="1">0.075</definedName>
    <definedName name="solver_mrt" localSheetId="4" hidden="1">0.075</definedName>
    <definedName name="solver_mrt" localSheetId="2" hidden="1">0.075</definedName>
    <definedName name="solver_msl" localSheetId="3" hidden="1">2</definedName>
    <definedName name="solver_msl" localSheetId="0" hidden="1">2</definedName>
    <definedName name="solver_msl" localSheetId="4" hidden="1">2</definedName>
    <definedName name="solver_msl" localSheetId="2" hidden="1">2</definedName>
    <definedName name="solver_neg" localSheetId="3" hidden="1">1</definedName>
    <definedName name="solver_neg" localSheetId="0" hidden="1">1</definedName>
    <definedName name="solver_neg" localSheetId="4" hidden="1">1</definedName>
    <definedName name="solver_neg" localSheetId="2" hidden="1">1</definedName>
    <definedName name="solver_nod" localSheetId="3" hidden="1">2147483647</definedName>
    <definedName name="solver_nod" localSheetId="0" hidden="1">2147483647</definedName>
    <definedName name="solver_nod" localSheetId="4" hidden="1">2147483647</definedName>
    <definedName name="solver_nod" localSheetId="2" hidden="1">2147483647</definedName>
    <definedName name="solver_num" localSheetId="3" hidden="1">0</definedName>
    <definedName name="solver_num" localSheetId="0" hidden="1">1</definedName>
    <definedName name="solver_num" localSheetId="4" hidden="1">0</definedName>
    <definedName name="solver_num" localSheetId="2" hidden="1">1</definedName>
    <definedName name="solver_nwt" localSheetId="3" hidden="1">1</definedName>
    <definedName name="solver_nwt" localSheetId="0" hidden="1">1</definedName>
    <definedName name="solver_nwt" localSheetId="4" hidden="1">1</definedName>
    <definedName name="solver_nwt" localSheetId="2" hidden="1">1</definedName>
    <definedName name="solver_opt" localSheetId="3" hidden="1">CYCLES!#REF!</definedName>
    <definedName name="solver_opt" localSheetId="0" hidden="1">ESTIMATOR!$AA$88</definedName>
    <definedName name="solver_opt" localSheetId="4" hidden="1">PRIORITIES!#REF!</definedName>
    <definedName name="solver_opt" localSheetId="2" hidden="1">'WAGE BASE'!#REF!</definedName>
    <definedName name="solver_pre" localSheetId="3" hidden="1">0.000001</definedName>
    <definedName name="solver_pre" localSheetId="0" hidden="1">0.000001</definedName>
    <definedName name="solver_pre" localSheetId="4" hidden="1">0.000001</definedName>
    <definedName name="solver_pre" localSheetId="2" hidden="1">0.000001</definedName>
    <definedName name="solver_rbv" localSheetId="3" hidden="1">1</definedName>
    <definedName name="solver_rbv" localSheetId="0" hidden="1">1</definedName>
    <definedName name="solver_rbv" localSheetId="4" hidden="1">1</definedName>
    <definedName name="solver_rbv" localSheetId="2" hidden="1">1</definedName>
    <definedName name="solver_rel1" localSheetId="0" hidden="1">2</definedName>
    <definedName name="solver_rel1" localSheetId="2" hidden="1">2</definedName>
    <definedName name="solver_rhs1" localSheetId="0" hidden="1">0</definedName>
    <definedName name="solver_rhs1" localSheetId="2" hidden="1">0</definedName>
    <definedName name="solver_rlx" localSheetId="3" hidden="1">2</definedName>
    <definedName name="solver_rlx" localSheetId="0" hidden="1">2</definedName>
    <definedName name="solver_rlx" localSheetId="4" hidden="1">2</definedName>
    <definedName name="solver_rlx" localSheetId="2" hidden="1">2</definedName>
    <definedName name="solver_rsd" localSheetId="3" hidden="1">0</definedName>
    <definedName name="solver_rsd" localSheetId="0" hidden="1">0</definedName>
    <definedName name="solver_rsd" localSheetId="4" hidden="1">0</definedName>
    <definedName name="solver_rsd" localSheetId="2" hidden="1">0</definedName>
    <definedName name="solver_scl" localSheetId="3" hidden="1">1</definedName>
    <definedName name="solver_scl" localSheetId="0" hidden="1">1</definedName>
    <definedName name="solver_scl" localSheetId="4" hidden="1">1</definedName>
    <definedName name="solver_scl" localSheetId="2" hidden="1">1</definedName>
    <definedName name="solver_sho" localSheetId="3" hidden="1">2</definedName>
    <definedName name="solver_sho" localSheetId="0" hidden="1">2</definedName>
    <definedName name="solver_sho" localSheetId="4" hidden="1">2</definedName>
    <definedName name="solver_sho" localSheetId="2" hidden="1">2</definedName>
    <definedName name="solver_ssz" localSheetId="3" hidden="1">100</definedName>
    <definedName name="solver_ssz" localSheetId="0" hidden="1">100</definedName>
    <definedName name="solver_ssz" localSheetId="4" hidden="1">100</definedName>
    <definedName name="solver_ssz" localSheetId="2" hidden="1">100</definedName>
    <definedName name="solver_tim" localSheetId="3" hidden="1">2147483647</definedName>
    <definedName name="solver_tim" localSheetId="0" hidden="1">2147483647</definedName>
    <definedName name="solver_tim" localSheetId="4" hidden="1">2147483647</definedName>
    <definedName name="solver_tim" localSheetId="2" hidden="1">2147483647</definedName>
    <definedName name="solver_tol" localSheetId="3" hidden="1">0.01</definedName>
    <definedName name="solver_tol" localSheetId="0" hidden="1">0.01</definedName>
    <definedName name="solver_tol" localSheetId="4" hidden="1">0.01</definedName>
    <definedName name="solver_tol" localSheetId="2" hidden="1">0.01</definedName>
    <definedName name="solver_typ" localSheetId="3" hidden="1">2</definedName>
    <definedName name="solver_typ" localSheetId="0" hidden="1">1</definedName>
    <definedName name="solver_typ" localSheetId="4" hidden="1">2</definedName>
    <definedName name="solver_typ" localSheetId="2" hidden="1">1</definedName>
    <definedName name="solver_val" localSheetId="3" hidden="1">100</definedName>
    <definedName name="solver_val" localSheetId="0" hidden="1">0</definedName>
    <definedName name="solver_val" localSheetId="4" hidden="1">100</definedName>
    <definedName name="solver_val" localSheetId="2" hidden="1">0</definedName>
    <definedName name="solver_ver" localSheetId="3" hidden="1">3</definedName>
    <definedName name="solver_ver" localSheetId="0" hidden="1">3</definedName>
    <definedName name="solver_ver" localSheetId="4" hidden="1">3</definedName>
    <definedName name="solver_ver" localSheetId="2" hidden="1">3</definedName>
  </definedNames>
  <calcPr calcId="145621"/>
</workbook>
</file>

<file path=xl/calcChain.xml><?xml version="1.0" encoding="utf-8"?>
<calcChain xmlns="http://schemas.openxmlformats.org/spreadsheetml/2006/main">
  <c r="N25" i="8" l="1"/>
  <c r="N24" i="8"/>
  <c r="N23" i="8"/>
  <c r="N22" i="8"/>
  <c r="N21" i="8"/>
  <c r="N20" i="8"/>
  <c r="N15" i="8"/>
  <c r="N13" i="8"/>
  <c r="N12" i="8"/>
  <c r="N11" i="8"/>
  <c r="N10" i="8"/>
  <c r="N9" i="8"/>
  <c r="I42" i="8"/>
  <c r="I41" i="8"/>
  <c r="I40" i="8"/>
  <c r="I39" i="8"/>
  <c r="I38" i="8"/>
  <c r="I37" i="8"/>
  <c r="D42" i="8"/>
  <c r="D41" i="8"/>
  <c r="D40" i="8"/>
  <c r="D39" i="8"/>
  <c r="D38" i="8"/>
  <c r="G38" i="8" s="1"/>
  <c r="D37" i="8"/>
  <c r="A37" i="8" l="1"/>
  <c r="B37" i="8" s="1"/>
  <c r="G37" i="8"/>
  <c r="L38" i="8"/>
  <c r="L39" i="8"/>
  <c r="L40" i="8"/>
  <c r="L41" i="8"/>
  <c r="L42" i="8"/>
  <c r="L37" i="8"/>
  <c r="G39" i="8"/>
  <c r="G40" i="8"/>
  <c r="G41" i="8"/>
  <c r="G42" i="8"/>
  <c r="B36" i="8"/>
  <c r="V78" i="1" l="1"/>
  <c r="V34" i="1" l="1"/>
  <c r="V35" i="6"/>
  <c r="V34" i="6"/>
  <c r="V33" i="6"/>
  <c r="V32" i="6"/>
  <c r="V31" i="6"/>
  <c r="V30" i="6"/>
  <c r="V29" i="6"/>
  <c r="V28" i="6"/>
  <c r="V27" i="6"/>
  <c r="V26" i="6"/>
  <c r="H21" i="12" l="1"/>
  <c r="H22" i="12"/>
  <c r="H23" i="12"/>
  <c r="H24" i="12"/>
  <c r="H25" i="12"/>
  <c r="H20" i="12"/>
  <c r="L36" i="8" l="1"/>
  <c r="L25" i="8"/>
  <c r="L24" i="8"/>
  <c r="L23" i="8"/>
  <c r="L22" i="8"/>
  <c r="L21" i="8"/>
  <c r="L20" i="8"/>
  <c r="L15" i="8"/>
  <c r="L13" i="8"/>
  <c r="L12" i="8"/>
  <c r="L11" i="8"/>
  <c r="L10" i="8"/>
  <c r="L9" i="8"/>
  <c r="C31" i="6" l="1"/>
  <c r="C30" i="6"/>
  <c r="C29" i="6"/>
  <c r="C28" i="6"/>
  <c r="C27" i="6"/>
  <c r="C26" i="6"/>
  <c r="C25" i="6"/>
  <c r="C14" i="6"/>
  <c r="C15" i="6"/>
  <c r="C16" i="6"/>
  <c r="C17" i="6"/>
  <c r="C18" i="6"/>
  <c r="C13" i="6"/>
  <c r="C12" i="6"/>
  <c r="G13" i="6" l="1"/>
  <c r="A1" i="11"/>
  <c r="C1" i="11"/>
  <c r="Y14" i="1"/>
  <c r="Z14" i="1" s="1"/>
  <c r="AA14" i="1" s="1"/>
  <c r="H14" i="12" l="1"/>
  <c r="L14" i="12"/>
  <c r="F14" i="12"/>
  <c r="J14" i="12"/>
  <c r="N14" i="12"/>
  <c r="G14" i="12"/>
  <c r="K14" i="12"/>
  <c r="I14" i="12"/>
  <c r="M14" i="12"/>
  <c r="Y72" i="1"/>
  <c r="Z72" i="1" s="1"/>
  <c r="G21" i="9" s="1"/>
  <c r="W5" i="1"/>
  <c r="Y85" i="1" l="1"/>
  <c r="M85" i="12" l="1"/>
  <c r="Z85" i="1"/>
  <c r="M13" i="8"/>
  <c r="K13" i="8"/>
  <c r="J13" i="8"/>
  <c r="I13" i="8"/>
  <c r="H13" i="8"/>
  <c r="G13" i="8"/>
  <c r="F13" i="8"/>
  <c r="E13" i="8"/>
  <c r="D13" i="8"/>
  <c r="C13" i="8"/>
  <c r="B13" i="8"/>
  <c r="M12" i="8"/>
  <c r="K12" i="8"/>
  <c r="J12" i="8"/>
  <c r="I12" i="8"/>
  <c r="H12" i="8"/>
  <c r="G12" i="8"/>
  <c r="F12" i="8"/>
  <c r="E12" i="8"/>
  <c r="D12" i="8"/>
  <c r="C12" i="8"/>
  <c r="B12" i="8"/>
  <c r="Y82" i="1"/>
  <c r="O71" i="1"/>
  <c r="O67" i="1"/>
  <c r="N71" i="1"/>
  <c r="O57" i="1"/>
  <c r="N77" i="1"/>
  <c r="N76" i="1"/>
  <c r="N75" i="1"/>
  <c r="N74" i="1"/>
  <c r="N73" i="1"/>
  <c r="N66" i="1"/>
  <c r="N65" i="1"/>
  <c r="N64" i="1"/>
  <c r="N63" i="1"/>
  <c r="N62" i="1"/>
  <c r="N61" i="1"/>
  <c r="N60" i="1"/>
  <c r="N57" i="1"/>
  <c r="L62" i="1"/>
  <c r="Y59" i="1"/>
  <c r="Z59" i="1" s="1"/>
  <c r="G11" i="9" s="1"/>
  <c r="Y58" i="1"/>
  <c r="Z58" i="1" s="1"/>
  <c r="G12" i="9" s="1"/>
  <c r="Y84" i="1"/>
  <c r="Z84" i="1" s="1"/>
  <c r="G40" i="9" s="1"/>
  <c r="Y83" i="1"/>
  <c r="Z83" i="1" s="1"/>
  <c r="G39" i="9" s="1"/>
  <c r="Y81" i="1"/>
  <c r="Z81" i="1" s="1"/>
  <c r="G34" i="9" s="1"/>
  <c r="Y80" i="1"/>
  <c r="Z80" i="1" s="1"/>
  <c r="G33" i="9" s="1"/>
  <c r="Y79" i="1"/>
  <c r="Z79" i="1" s="1"/>
  <c r="G36" i="9" s="1"/>
  <c r="Y45" i="1"/>
  <c r="Y44" i="1"/>
  <c r="Z44" i="1" s="1"/>
  <c r="G42" i="9" s="1"/>
  <c r="Y42" i="1"/>
  <c r="Y41" i="1"/>
  <c r="Z41" i="1" s="1"/>
  <c r="G32" i="9" s="1"/>
  <c r="Y40" i="1"/>
  <c r="Z40" i="1" s="1"/>
  <c r="G30" i="9" s="1"/>
  <c r="Y39" i="1"/>
  <c r="Z39" i="1" s="1"/>
  <c r="G31" i="9" s="1"/>
  <c r="Y38" i="1"/>
  <c r="Z38" i="1" s="1"/>
  <c r="G38" i="9" s="1"/>
  <c r="Y37" i="1"/>
  <c r="Z37" i="1" s="1"/>
  <c r="G29" i="9" s="1"/>
  <c r="Y36" i="1"/>
  <c r="Z36" i="1" s="1"/>
  <c r="G35" i="9" s="1"/>
  <c r="Y35" i="1"/>
  <c r="Z35" i="1" s="1"/>
  <c r="G37" i="9" s="1"/>
  <c r="Y30" i="1"/>
  <c r="Z30" i="1" s="1"/>
  <c r="AA30" i="1" s="1"/>
  <c r="Y29" i="1"/>
  <c r="Z29" i="1" s="1"/>
  <c r="AA29" i="1" s="1"/>
  <c r="Y28" i="1"/>
  <c r="Z28" i="1" s="1"/>
  <c r="Y26" i="1"/>
  <c r="Z26" i="1" s="1"/>
  <c r="AA26" i="1" s="1"/>
  <c r="Y25" i="1"/>
  <c r="Z25" i="1" s="1"/>
  <c r="AA25" i="1" s="1"/>
  <c r="Y24" i="1"/>
  <c r="Z24" i="1" s="1"/>
  <c r="AA24" i="1" s="1"/>
  <c r="Y23" i="1"/>
  <c r="Z23" i="1" s="1"/>
  <c r="AA23" i="1" s="1"/>
  <c r="Y22" i="1"/>
  <c r="Z22" i="1" s="1"/>
  <c r="AA22" i="1" s="1"/>
  <c r="Y21" i="1"/>
  <c r="Z21" i="1" s="1"/>
  <c r="AA21" i="1" s="1"/>
  <c r="Y20" i="1"/>
  <c r="Z20" i="1" s="1"/>
  <c r="AA20" i="1" s="1"/>
  <c r="Y19" i="1"/>
  <c r="Z19" i="1" s="1"/>
  <c r="AA19" i="1" s="1"/>
  <c r="Y18" i="1"/>
  <c r="Z18" i="1" s="1"/>
  <c r="AA18" i="1" s="1"/>
  <c r="Y17" i="1"/>
  <c r="Z17" i="1" s="1"/>
  <c r="AA17" i="1" s="1"/>
  <c r="Y16" i="1"/>
  <c r="Z16" i="1" s="1"/>
  <c r="AA16" i="1" s="1"/>
  <c r="Y15" i="1"/>
  <c r="Z15" i="1" s="1"/>
  <c r="AA15" i="1" s="1"/>
  <c r="Y13" i="1"/>
  <c r="Z13" i="1" s="1"/>
  <c r="AA13" i="1" s="1"/>
  <c r="Y12" i="1"/>
  <c r="Z12" i="1" s="1"/>
  <c r="AA12" i="1" s="1"/>
  <c r="Y11" i="1"/>
  <c r="Z11" i="1" s="1"/>
  <c r="AA11" i="1" s="1"/>
  <c r="Y10" i="1"/>
  <c r="Z10" i="1" s="1"/>
  <c r="AA10" i="1" s="1"/>
  <c r="Y9" i="1"/>
  <c r="Z9" i="1" s="1"/>
  <c r="AA9" i="1" s="1"/>
  <c r="Y8" i="1"/>
  <c r="Z8" i="1" s="1"/>
  <c r="AA8" i="1" s="1"/>
  <c r="Z42" i="1" l="1"/>
  <c r="G44" i="9" s="1"/>
  <c r="W42" i="1"/>
  <c r="W82" i="1"/>
  <c r="Z82" i="1"/>
  <c r="G45" i="9" s="1"/>
  <c r="W45" i="1"/>
  <c r="Z45" i="1"/>
  <c r="AA28" i="1"/>
  <c r="L73" i="1"/>
  <c r="L77" i="1"/>
  <c r="L76" i="1"/>
  <c r="L75" i="1"/>
  <c r="L74" i="1"/>
  <c r="L61" i="1"/>
  <c r="L66" i="1"/>
  <c r="L65" i="1"/>
  <c r="L64" i="1"/>
  <c r="L63" i="1"/>
  <c r="Y27" i="1"/>
  <c r="Z27" i="1" s="1"/>
  <c r="AA27" i="1" s="1"/>
  <c r="G27" i="12"/>
  <c r="F27" i="12"/>
  <c r="Z31" i="1" l="1"/>
  <c r="G41" i="9"/>
  <c r="G43" i="9"/>
  <c r="Y31" i="1"/>
  <c r="M84" i="12"/>
  <c r="M83" i="12"/>
  <c r="M79" i="12"/>
  <c r="M81" i="12"/>
  <c r="M80" i="12"/>
  <c r="N35" i="12"/>
  <c r="M35" i="12"/>
  <c r="L35" i="12"/>
  <c r="N38" i="12"/>
  <c r="N37" i="12"/>
  <c r="N36" i="12"/>
  <c r="M45" i="12"/>
  <c r="M42" i="12"/>
  <c r="M44" i="12"/>
  <c r="M38" i="12"/>
  <c r="M41" i="12"/>
  <c r="M40" i="12"/>
  <c r="M39" i="12"/>
  <c r="M37" i="12"/>
  <c r="M36" i="12"/>
  <c r="G38" i="12"/>
  <c r="G41" i="12"/>
  <c r="G40" i="12"/>
  <c r="G39" i="12"/>
  <c r="G37" i="12"/>
  <c r="G36" i="12"/>
  <c r="F45" i="12"/>
  <c r="F42" i="12"/>
  <c r="F44" i="12"/>
  <c r="F38" i="12"/>
  <c r="F35" i="12"/>
  <c r="F41" i="12"/>
  <c r="F40" i="12"/>
  <c r="F39" i="12"/>
  <c r="F37" i="12"/>
  <c r="F36" i="12"/>
  <c r="G26" i="12"/>
  <c r="F26" i="12"/>
  <c r="K13" i="12"/>
  <c r="J13" i="12"/>
  <c r="I13" i="12"/>
  <c r="H13" i="12"/>
  <c r="G15" i="12"/>
  <c r="F15" i="12"/>
  <c r="G13" i="12"/>
  <c r="F13" i="12"/>
  <c r="N15" i="12"/>
  <c r="M15" i="12"/>
  <c r="L15" i="12"/>
  <c r="N13" i="12"/>
  <c r="M13" i="12"/>
  <c r="L13" i="12"/>
  <c r="G46" i="12" l="1"/>
  <c r="N8" i="12" l="1"/>
  <c r="J8" i="12"/>
  <c r="F8" i="12"/>
  <c r="I8" i="12"/>
  <c r="L8" i="12"/>
  <c r="G8" i="12"/>
  <c r="M8" i="12"/>
  <c r="H8" i="12"/>
  <c r="K8" i="12"/>
  <c r="G24" i="12" l="1"/>
  <c r="L24" i="12"/>
  <c r="N24" i="12"/>
  <c r="F24" i="12"/>
  <c r="M24" i="12"/>
  <c r="M25" i="12"/>
  <c r="L25" i="12"/>
  <c r="G25" i="12"/>
  <c r="N25" i="12"/>
  <c r="F25" i="12"/>
  <c r="E7" i="11"/>
  <c r="D7" i="11"/>
  <c r="C7" i="11"/>
  <c r="E8" i="11"/>
  <c r="D8" i="11"/>
  <c r="C8" i="11"/>
  <c r="G9" i="12" l="1"/>
  <c r="L9" i="12"/>
  <c r="F9" i="12"/>
  <c r="N9" i="12"/>
  <c r="I9" i="12"/>
  <c r="H9" i="12"/>
  <c r="M9" i="12"/>
  <c r="V53" i="1"/>
  <c r="V52" i="1"/>
  <c r="V51" i="1"/>
  <c r="H52" i="1"/>
  <c r="H51" i="1"/>
  <c r="B10" i="11" l="1"/>
  <c r="F10" i="11" s="1"/>
  <c r="G36" i="8"/>
  <c r="N69" i="1" l="1"/>
  <c r="N70" i="1"/>
  <c r="H16" i="12"/>
  <c r="F16" i="12"/>
  <c r="N16" i="12"/>
  <c r="J16" i="12"/>
  <c r="M16" i="12"/>
  <c r="L16" i="12"/>
  <c r="I16" i="12"/>
  <c r="G16" i="12"/>
  <c r="I17" i="12" l="1"/>
  <c r="L17" i="12"/>
  <c r="G17" i="12"/>
  <c r="F17" i="12"/>
  <c r="H17" i="12"/>
  <c r="N17" i="12"/>
  <c r="M17" i="12"/>
  <c r="J17" i="12"/>
  <c r="A42" i="8"/>
  <c r="B42" i="8" s="1"/>
  <c r="A41" i="8"/>
  <c r="B41" i="8" s="1"/>
  <c r="A40" i="8"/>
  <c r="B40" i="8" s="1"/>
  <c r="A39" i="8"/>
  <c r="B39" i="8" s="1"/>
  <c r="A38" i="8"/>
  <c r="B38" i="8" s="1"/>
  <c r="N68" i="1" s="1"/>
  <c r="C20" i="8"/>
  <c r="D20" i="8"/>
  <c r="E20" i="8"/>
  <c r="F20" i="8"/>
  <c r="G20" i="8"/>
  <c r="H20" i="8"/>
  <c r="I20" i="8"/>
  <c r="J20" i="8"/>
  <c r="K20" i="8"/>
  <c r="M20" i="8"/>
  <c r="M25" i="8"/>
  <c r="M24" i="8"/>
  <c r="M23" i="8"/>
  <c r="M22" i="8"/>
  <c r="M21" i="8"/>
  <c r="M15" i="8"/>
  <c r="M11" i="8"/>
  <c r="M10" i="8"/>
  <c r="M9" i="8"/>
  <c r="D9" i="8"/>
  <c r="E9" i="8"/>
  <c r="F9" i="8"/>
  <c r="G9" i="8"/>
  <c r="H9" i="8"/>
  <c r="I9" i="8"/>
  <c r="J9" i="8"/>
  <c r="K9" i="8"/>
  <c r="D10" i="8"/>
  <c r="E10" i="8"/>
  <c r="F10" i="8"/>
  <c r="G10" i="8"/>
  <c r="H10" i="8"/>
  <c r="I10" i="8"/>
  <c r="J10" i="8"/>
  <c r="K10" i="8"/>
  <c r="D11" i="8"/>
  <c r="E11" i="8"/>
  <c r="F11" i="8"/>
  <c r="G11" i="8"/>
  <c r="H11" i="8"/>
  <c r="I11" i="8"/>
  <c r="J11" i="8"/>
  <c r="K11" i="8"/>
  <c r="D15" i="8"/>
  <c r="E15" i="8"/>
  <c r="F15" i="8"/>
  <c r="G15" i="8"/>
  <c r="H15" i="8"/>
  <c r="I15" i="8"/>
  <c r="J15" i="8"/>
  <c r="K15" i="8"/>
  <c r="D21" i="8"/>
  <c r="E21" i="8"/>
  <c r="F21" i="8"/>
  <c r="G21" i="8"/>
  <c r="H21" i="8"/>
  <c r="I21" i="8"/>
  <c r="J21" i="8"/>
  <c r="K21" i="8"/>
  <c r="D22" i="8"/>
  <c r="E22" i="8"/>
  <c r="F22" i="8"/>
  <c r="G22" i="8"/>
  <c r="H22" i="8"/>
  <c r="I22" i="8"/>
  <c r="J22" i="8"/>
  <c r="K22" i="8"/>
  <c r="D23" i="8"/>
  <c r="E23" i="8"/>
  <c r="F23" i="8"/>
  <c r="G23" i="8"/>
  <c r="H23" i="8"/>
  <c r="I23" i="8"/>
  <c r="J23" i="8"/>
  <c r="K23" i="8"/>
  <c r="D24" i="8"/>
  <c r="E24" i="8"/>
  <c r="F24" i="8"/>
  <c r="G24" i="8"/>
  <c r="H24" i="8"/>
  <c r="I24" i="8"/>
  <c r="J24" i="8"/>
  <c r="K24" i="8"/>
  <c r="D25" i="8"/>
  <c r="E25" i="8"/>
  <c r="F25" i="8"/>
  <c r="G25" i="8"/>
  <c r="H25" i="8"/>
  <c r="I25" i="8"/>
  <c r="J25" i="8"/>
  <c r="K25" i="8"/>
  <c r="C9" i="8"/>
  <c r="C10" i="8"/>
  <c r="C11" i="8"/>
  <c r="C15" i="8"/>
  <c r="C21" i="8"/>
  <c r="C22" i="8"/>
  <c r="C23" i="8"/>
  <c r="C24" i="8"/>
  <c r="C25" i="8"/>
  <c r="B11" i="8"/>
  <c r="B10" i="8"/>
  <c r="B25" i="8"/>
  <c r="B24" i="8"/>
  <c r="B23" i="8"/>
  <c r="B22" i="8"/>
  <c r="B21" i="8"/>
  <c r="B15" i="8"/>
  <c r="B9" i="8"/>
  <c r="N10" i="12" l="1"/>
  <c r="I10" i="12"/>
  <c r="M10" i="12"/>
  <c r="H10" i="12"/>
  <c r="L10" i="12"/>
  <c r="F10" i="12"/>
  <c r="J10" i="12"/>
  <c r="G10" i="12"/>
  <c r="J18" i="12" l="1"/>
  <c r="F18" i="12"/>
  <c r="M18" i="12"/>
  <c r="I18" i="12"/>
  <c r="N18" i="12"/>
  <c r="L18" i="12"/>
  <c r="H18" i="12"/>
  <c r="G18" i="12"/>
  <c r="K19" i="12"/>
  <c r="K31" i="12" s="1"/>
  <c r="N19" i="12"/>
  <c r="J19" i="12"/>
  <c r="M19" i="12"/>
  <c r="I19" i="12"/>
  <c r="G19" i="12"/>
  <c r="F19" i="12"/>
  <c r="L19" i="12"/>
  <c r="H19" i="12"/>
  <c r="L20" i="12"/>
  <c r="G20" i="12"/>
  <c r="F20" i="12"/>
  <c r="N20" i="12"/>
  <c r="M20" i="12"/>
  <c r="N23" i="12"/>
  <c r="I23" i="12"/>
  <c r="G23" i="12"/>
  <c r="M23" i="12"/>
  <c r="L23" i="12"/>
  <c r="F23" i="12"/>
  <c r="M21" i="12"/>
  <c r="L21" i="12"/>
  <c r="N21" i="12"/>
  <c r="G21" i="12"/>
  <c r="F21" i="12"/>
  <c r="H11" i="12"/>
  <c r="J11" i="12"/>
  <c r="I11" i="12"/>
  <c r="G11" i="12"/>
  <c r="N11" i="12"/>
  <c r="F11" i="12"/>
  <c r="M11" i="12"/>
  <c r="L11" i="12"/>
  <c r="J31" i="6"/>
  <c r="J30" i="6"/>
  <c r="J29" i="6"/>
  <c r="J28" i="6"/>
  <c r="J27" i="6"/>
  <c r="G26" i="6"/>
  <c r="J26" i="6"/>
  <c r="J25" i="6"/>
  <c r="J18" i="6"/>
  <c r="J17" i="6"/>
  <c r="J16" i="6"/>
  <c r="J15" i="6"/>
  <c r="J14" i="6"/>
  <c r="G14" i="6"/>
  <c r="G15" i="6" s="1"/>
  <c r="G16" i="6" s="1"/>
  <c r="G17" i="6" s="1"/>
  <c r="G18" i="6" s="1"/>
  <c r="J13" i="6"/>
  <c r="J12" i="6"/>
  <c r="J31" i="12" l="1"/>
  <c r="G22" i="12"/>
  <c r="N22" i="12"/>
  <c r="F22" i="12"/>
  <c r="L22" i="12"/>
  <c r="M22" i="12"/>
  <c r="I22" i="12"/>
  <c r="I31" i="12" s="1"/>
  <c r="G12" i="12"/>
  <c r="M12" i="12"/>
  <c r="L12" i="12"/>
  <c r="N12" i="12"/>
  <c r="F12" i="12"/>
  <c r="H12" i="12"/>
  <c r="G27" i="6"/>
  <c r="G28" i="6" s="1"/>
  <c r="G29" i="6" s="1"/>
  <c r="G30" i="6" s="1"/>
  <c r="G31" i="6" s="1"/>
  <c r="H31" i="12" l="1"/>
  <c r="Y78" i="1" s="1"/>
  <c r="L31" i="12"/>
  <c r="Y43" i="1" s="1"/>
  <c r="F31" i="12"/>
  <c r="G31" i="12"/>
  <c r="G51" i="12" s="1"/>
  <c r="Y51" i="1" s="1"/>
  <c r="M31" i="12"/>
  <c r="N31" i="12"/>
  <c r="H4" i="9"/>
  <c r="AA31" i="1"/>
  <c r="B11" i="11" s="1"/>
  <c r="L78" i="12" l="1"/>
  <c r="L86" i="12" s="1"/>
  <c r="M78" i="12"/>
  <c r="M86" i="12" s="1"/>
  <c r="N78" i="12"/>
  <c r="N86" i="12" s="1"/>
  <c r="Z78" i="1"/>
  <c r="G28" i="9" s="1"/>
  <c r="Y34" i="1"/>
  <c r="Z34" i="1" s="1"/>
  <c r="Z51" i="1"/>
  <c r="G5" i="9" s="1"/>
  <c r="H5" i="9" s="1"/>
  <c r="Y52" i="1"/>
  <c r="Z52" i="1" s="1"/>
  <c r="G6" i="9" s="1"/>
  <c r="B8" i="11"/>
  <c r="B7" i="11" s="1"/>
  <c r="J62" i="1"/>
  <c r="J66" i="1"/>
  <c r="J77" i="1"/>
  <c r="J73" i="1"/>
  <c r="J63" i="1"/>
  <c r="J68" i="1"/>
  <c r="J76" i="1"/>
  <c r="J60" i="1"/>
  <c r="J64" i="1"/>
  <c r="J69" i="1"/>
  <c r="J75" i="1"/>
  <c r="J61" i="1"/>
  <c r="J65" i="1"/>
  <c r="J70" i="1"/>
  <c r="J74" i="1"/>
  <c r="Z43" i="1"/>
  <c r="G46" i="9" s="1"/>
  <c r="W43" i="1"/>
  <c r="L53" i="12"/>
  <c r="H6" i="9" l="1"/>
  <c r="G27" i="9"/>
  <c r="Z46" i="1"/>
  <c r="Y46" i="1"/>
  <c r="M51" i="12"/>
  <c r="L52" i="12"/>
  <c r="N52" i="12"/>
  <c r="M52" i="12"/>
  <c r="N51" i="12"/>
  <c r="L51" i="12"/>
  <c r="N53" i="12"/>
  <c r="M53" i="12"/>
  <c r="M34" i="12"/>
  <c r="N34" i="12"/>
  <c r="N46" i="12" s="1"/>
  <c r="F34" i="12"/>
  <c r="L34" i="12"/>
  <c r="L46" i="12" s="1"/>
  <c r="M43" i="12"/>
  <c r="F43" i="12"/>
  <c r="F46" i="12" l="1"/>
  <c r="M46" i="12"/>
  <c r="F49" i="12" l="1"/>
  <c r="AA51" i="1"/>
  <c r="Y50" i="1" l="1"/>
  <c r="Z50" i="1" s="1"/>
  <c r="G8" i="9" s="1"/>
  <c r="Y49" i="1"/>
  <c r="Z49" i="1" s="1"/>
  <c r="G7" i="9" s="1"/>
  <c r="H7" i="9" s="1"/>
  <c r="F50" i="12"/>
  <c r="AA52" i="1"/>
  <c r="H8" i="9" l="1"/>
  <c r="L50" i="12"/>
  <c r="N50" i="12"/>
  <c r="M50" i="12"/>
  <c r="M49" i="12"/>
  <c r="Y54" i="1"/>
  <c r="N49" i="12"/>
  <c r="L49" i="12"/>
  <c r="Z54" i="1"/>
  <c r="L54" i="12" l="1"/>
  <c r="L88" i="12" s="1"/>
  <c r="K64" i="1" s="1"/>
  <c r="S64" i="1" s="1"/>
  <c r="N54" i="12"/>
  <c r="N88" i="12" s="1"/>
  <c r="M54" i="12"/>
  <c r="M88" i="12" s="1"/>
  <c r="K68" i="1" s="1"/>
  <c r="AA49" i="1"/>
  <c r="K74" i="1" l="1"/>
  <c r="S74" i="1" s="1"/>
  <c r="K65" i="1"/>
  <c r="S65" i="1" s="1"/>
  <c r="K63" i="1"/>
  <c r="S63" i="1" s="1"/>
  <c r="K77" i="1"/>
  <c r="S77" i="1" s="1"/>
  <c r="K73" i="1"/>
  <c r="S73" i="1" s="1"/>
  <c r="K62" i="1"/>
  <c r="S62" i="1" s="1"/>
  <c r="K60" i="1"/>
  <c r="S60" i="1" s="1"/>
  <c r="K61" i="1"/>
  <c r="O61" i="1" s="1"/>
  <c r="K76" i="1"/>
  <c r="S76" i="1" s="1"/>
  <c r="K75" i="1"/>
  <c r="S75" i="1" s="1"/>
  <c r="K66" i="1"/>
  <c r="S66" i="1" s="1"/>
  <c r="K69" i="1"/>
  <c r="S69" i="1" s="1"/>
  <c r="K70" i="1"/>
  <c r="S70" i="1" s="1"/>
  <c r="S68" i="1"/>
  <c r="O68" i="1"/>
  <c r="M68" i="1"/>
  <c r="AA50" i="1"/>
  <c r="M64" i="1"/>
  <c r="O64" i="1"/>
  <c r="O63" i="1" l="1"/>
  <c r="M70" i="1"/>
  <c r="P64" i="1"/>
  <c r="M75" i="1"/>
  <c r="O65" i="1"/>
  <c r="M62" i="1"/>
  <c r="O75" i="1"/>
  <c r="M65" i="1"/>
  <c r="O62" i="1"/>
  <c r="M60" i="1"/>
  <c r="O73" i="1"/>
  <c r="O77" i="1"/>
  <c r="M77" i="1"/>
  <c r="M66" i="1"/>
  <c r="M61" i="1"/>
  <c r="P61" i="1" s="1"/>
  <c r="O66" i="1"/>
  <c r="M63" i="1"/>
  <c r="P63" i="1" s="1"/>
  <c r="O60" i="1"/>
  <c r="P60" i="1" s="1"/>
  <c r="R60" i="1" s="1"/>
  <c r="S61" i="1"/>
  <c r="M76" i="1"/>
  <c r="M73" i="1"/>
  <c r="O76" i="1"/>
  <c r="M74" i="1"/>
  <c r="O74" i="1"/>
  <c r="O70" i="1"/>
  <c r="O69" i="1"/>
  <c r="P68" i="1"/>
  <c r="M69" i="1"/>
  <c r="P75" i="1" l="1"/>
  <c r="P70" i="1"/>
  <c r="P62" i="1"/>
  <c r="P65" i="1"/>
  <c r="P77" i="1"/>
  <c r="P73" i="1"/>
  <c r="P66" i="1"/>
  <c r="P76" i="1"/>
  <c r="P74" i="1"/>
  <c r="P69" i="1"/>
  <c r="T60" i="1"/>
  <c r="Y60" i="1" s="1"/>
  <c r="Q61" i="1" s="1"/>
  <c r="R61" i="1" s="1"/>
  <c r="T61" i="1" l="1"/>
  <c r="Y61" i="1" s="1"/>
  <c r="Z60" i="1"/>
  <c r="G9" i="9" s="1"/>
  <c r="Q63" i="1" l="1"/>
  <c r="R63" i="1" s="1"/>
  <c r="Q62" i="1"/>
  <c r="R62" i="1" s="1"/>
  <c r="H9" i="9"/>
  <c r="AA60" i="1" s="1"/>
  <c r="Z61" i="1" l="1"/>
  <c r="G10" i="9" s="1"/>
  <c r="T62" i="1"/>
  <c r="T63" i="1" l="1"/>
  <c r="Y63" i="1" s="1"/>
  <c r="H10" i="9"/>
  <c r="H11" i="9" s="1"/>
  <c r="H12" i="9" s="1"/>
  <c r="AA58" i="1" s="1"/>
  <c r="Y62" i="1"/>
  <c r="Z62" i="1" s="1"/>
  <c r="G14" i="9" s="1"/>
  <c r="Z63" i="1" l="1"/>
  <c r="G13" i="9" s="1"/>
  <c r="H13" i="9" s="1"/>
  <c r="H14" i="9" s="1"/>
  <c r="Q64" i="1"/>
  <c r="R64" i="1" s="1"/>
  <c r="AA59" i="1"/>
  <c r="AA61" i="1"/>
  <c r="T64" i="1" l="1"/>
  <c r="Y64" i="1" s="1"/>
  <c r="AA62" i="1"/>
  <c r="AA63" i="1"/>
  <c r="Q65" i="1" l="1"/>
  <c r="R65" i="1" s="1"/>
  <c r="Q66" i="1"/>
  <c r="R66" i="1" s="1"/>
  <c r="Z64" i="1"/>
  <c r="G15" i="9" s="1"/>
  <c r="H15" i="9" s="1"/>
  <c r="AA64" i="1" s="1"/>
  <c r="T65" i="1"/>
  <c r="Y65" i="1" s="1"/>
  <c r="T66" i="1"/>
  <c r="Y66" i="1" l="1"/>
  <c r="Z65" i="1"/>
  <c r="G17" i="9" s="1"/>
  <c r="Q68" i="1" l="1"/>
  <c r="R68" i="1" s="1"/>
  <c r="Z66" i="1"/>
  <c r="G16" i="9" s="1"/>
  <c r="T68" i="1" l="1"/>
  <c r="Y68" i="1" s="1"/>
  <c r="Q69" i="1" s="1"/>
  <c r="R69" i="1" s="1"/>
  <c r="H16" i="9"/>
  <c r="H17" i="9" s="1"/>
  <c r="AA65" i="1" s="1"/>
  <c r="T69" i="1"/>
  <c r="Y69" i="1" s="1"/>
  <c r="Z68" i="1" l="1"/>
  <c r="G18" i="9" s="1"/>
  <c r="H18" i="9" s="1"/>
  <c r="AA68" i="1" s="1"/>
  <c r="Q70" i="1"/>
  <c r="R70" i="1" s="1"/>
  <c r="AA66" i="1"/>
  <c r="Z69" i="1"/>
  <c r="G19" i="9" s="1"/>
  <c r="H19" i="9" l="1"/>
  <c r="AA69" i="1" s="1"/>
  <c r="T70" i="1"/>
  <c r="Y70" i="1" s="1"/>
  <c r="Z70" i="1" l="1"/>
  <c r="G20" i="9" s="1"/>
  <c r="Q73" i="1"/>
  <c r="R73" i="1" s="1"/>
  <c r="T73" i="1" l="1"/>
  <c r="Y73" i="1" s="1"/>
  <c r="Q74" i="1" s="1"/>
  <c r="R74" i="1" s="1"/>
  <c r="H20" i="9"/>
  <c r="H21" i="9" s="1"/>
  <c r="AA72" i="1" s="1"/>
  <c r="AA70" i="1" l="1"/>
  <c r="T74" i="1"/>
  <c r="Y74" i="1" s="1"/>
  <c r="Q75" i="1" s="1"/>
  <c r="R75" i="1" s="1"/>
  <c r="Z73" i="1"/>
  <c r="G22" i="9" s="1"/>
  <c r="T75" i="1" l="1"/>
  <c r="Y75" i="1" s="1"/>
  <c r="Q76" i="1" s="1"/>
  <c r="R76" i="1" s="1"/>
  <c r="H22" i="9"/>
  <c r="AA73" i="1" s="1"/>
  <c r="Z74" i="1"/>
  <c r="G23" i="9" s="1"/>
  <c r="T76" i="1" l="1"/>
  <c r="Y76" i="1" s="1"/>
  <c r="Q77" i="1" s="1"/>
  <c r="R77" i="1" s="1"/>
  <c r="H23" i="9"/>
  <c r="AA74" i="1" s="1"/>
  <c r="Z75" i="1"/>
  <c r="G24" i="9" s="1"/>
  <c r="T77" i="1" l="1"/>
  <c r="Y77" i="1" s="1"/>
  <c r="Z77" i="1" s="1"/>
  <c r="G26" i="9" s="1"/>
  <c r="H24" i="9"/>
  <c r="AA75" i="1" s="1"/>
  <c r="Z76" i="1"/>
  <c r="G25" i="9" s="1"/>
  <c r="H25" i="9" l="1"/>
  <c r="H26" i="9" s="1"/>
  <c r="H27" i="9" s="1"/>
  <c r="H28" i="9" s="1"/>
  <c r="H29" i="9" s="1"/>
  <c r="H30" i="9" s="1"/>
  <c r="H31" i="9" s="1"/>
  <c r="H32" i="9" s="1"/>
  <c r="H33" i="9" s="1"/>
  <c r="H34" i="9" s="1"/>
  <c r="H35" i="9" s="1"/>
  <c r="H36" i="9" s="1"/>
  <c r="H37" i="9" s="1"/>
  <c r="Y86" i="1"/>
  <c r="Y88" i="1" s="1"/>
  <c r="Z86" i="1"/>
  <c r="Z88" i="1" s="1"/>
  <c r="AB88" i="1" s="1"/>
  <c r="AA54" i="1"/>
  <c r="D11" i="11" s="1"/>
  <c r="H38" i="9" l="1"/>
  <c r="H39" i="9" s="1"/>
  <c r="H40" i="9" s="1"/>
  <c r="H41" i="9" s="1"/>
  <c r="H42" i="9" s="1"/>
  <c r="H43" i="9" s="1"/>
  <c r="H44" i="9" s="1"/>
  <c r="H45" i="9" s="1"/>
  <c r="H46" i="9" s="1"/>
  <c r="AA35" i="1"/>
  <c r="AA76" i="1"/>
  <c r="AA77" i="1"/>
  <c r="Z89" i="1"/>
  <c r="AA34" i="1"/>
  <c r="AA78" i="1" l="1"/>
  <c r="AA37" i="1" l="1"/>
  <c r="AA40" i="1" l="1"/>
  <c r="AA39" i="1" l="1"/>
  <c r="AA41" i="1" l="1"/>
  <c r="AA80" i="1" l="1"/>
  <c r="AA81" i="1" l="1"/>
  <c r="AA36" i="1" l="1"/>
  <c r="AA79" i="1" l="1"/>
  <c r="AA38" i="1" l="1"/>
  <c r="AA83" i="1" l="1"/>
  <c r="AA84" i="1" l="1"/>
  <c r="AA45" i="1" l="1"/>
  <c r="AA44" i="1" l="1"/>
  <c r="AA85" i="1" l="1"/>
  <c r="AA42" i="1" l="1"/>
  <c r="AA43" i="1" l="1"/>
  <c r="AA82" i="1"/>
  <c r="AA86" i="1" s="1"/>
  <c r="E11" i="11" s="1"/>
  <c r="H47" i="9" l="1"/>
  <c r="AA46" i="1"/>
  <c r="C11" i="11" s="1"/>
  <c r="C9" i="11" s="1"/>
  <c r="D9" i="11" l="1"/>
  <c r="E9" i="11" s="1"/>
  <c r="AA88" i="1"/>
  <c r="F11" i="11" s="1"/>
  <c r="F8" i="11" s="1"/>
  <c r="F7" i="11" s="1"/>
  <c r="Y5" i="1" l="1"/>
</calcChain>
</file>

<file path=xl/comments1.xml><?xml version="1.0" encoding="utf-8"?>
<comments xmlns="http://schemas.openxmlformats.org/spreadsheetml/2006/main">
  <authors>
    <author>Stu Wilbur</author>
  </authors>
  <commentList>
    <comment ref="V60"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1"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2"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3"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4"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5"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6" author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E73" authorId="0">
      <text>
        <r>
          <rPr>
            <sz val="9"/>
            <color indexed="81"/>
            <rFont val="Tahoma"/>
            <family val="2"/>
          </rPr>
          <t>Judgment Creditor, 
Student Loan, or 
Admin Wage Garnishment.  
List the garnishments in the order they were served (put in place) with 1 being the earliest.</t>
        </r>
      </text>
    </comment>
    <comment ref="E74" authorId="0">
      <text>
        <r>
          <rPr>
            <sz val="9"/>
            <color indexed="81"/>
            <rFont val="Tahoma"/>
            <family val="2"/>
          </rPr>
          <t>Judgment Creditor, 
Student Loan, or 
Admin Wage Garnishment.  
List the garnishments in the order they were served (put in place) with 1 being the earliest.</t>
        </r>
      </text>
    </comment>
    <comment ref="E75" authorId="0">
      <text>
        <r>
          <rPr>
            <sz val="9"/>
            <color indexed="81"/>
            <rFont val="Tahoma"/>
            <family val="2"/>
          </rPr>
          <t>Judgment Creditor, 
Student Loan, or 
Admin Wage Garnishment.  
List the garnishments in the order they were served (put in place) with 1 being the earliest.</t>
        </r>
      </text>
    </comment>
    <comment ref="E76" authorId="0">
      <text>
        <r>
          <rPr>
            <sz val="9"/>
            <color indexed="81"/>
            <rFont val="Tahoma"/>
            <family val="2"/>
          </rPr>
          <t>Judgment Creditor, 
Student Loan, or 
Admin Wage Garnishment.  
List the garnishments in the order they were served (put in place) with 1 being the earliest.</t>
        </r>
      </text>
    </comment>
    <comment ref="E77" authorId="0">
      <text>
        <r>
          <rPr>
            <sz val="9"/>
            <color indexed="81"/>
            <rFont val="Tahoma"/>
            <family val="2"/>
          </rPr>
          <t>Judgment Creditor, 
Student Loan, or 
Admin Wage Garnishment.  
List the garnishments in the order they were served (put in place) with 1 being the earliest.</t>
        </r>
      </text>
    </comment>
  </commentList>
</comments>
</file>

<file path=xl/comments2.xml><?xml version="1.0" encoding="utf-8"?>
<comments xmlns="http://schemas.openxmlformats.org/spreadsheetml/2006/main">
  <authors>
    <author>Stu Wilbur</author>
  </authors>
  <commentList>
    <comment ref="M36"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7"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8"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9"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0"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1"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2"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3"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4"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5"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8"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9"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0"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1"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3"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4"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5" author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L88" authorId="0">
      <text>
        <r>
          <rPr>
            <sz val="9"/>
            <color indexed="81"/>
            <rFont val="Tahoma"/>
            <family val="2"/>
          </rPr>
          <t>Gross Earnings
  - Taxes
  - Retirement
  - LTD
=Disposable Income</t>
        </r>
      </text>
    </comment>
    <comment ref="M88" authorId="0">
      <text>
        <r>
          <rPr>
            <sz val="9"/>
            <color indexed="81"/>
            <rFont val="Tahoma"/>
            <family val="2"/>
          </rPr>
          <t xml:space="preserve">Gross Earnings
  - Taxes
  - Retirement
  - Voluntary Deduction in place at time served
  - Exempt Amount </t>
        </r>
      </text>
    </comment>
    <comment ref="N88" authorId="0">
      <text>
        <r>
          <rPr>
            <sz val="9"/>
            <color indexed="81"/>
            <rFont val="Tahoma"/>
            <family val="2"/>
          </rPr>
          <t>Gross Earnings
  - Taxes
  - Retirement
  - LTD
  - Health
  - Dental
  - Vision
=Disposable Income</t>
        </r>
      </text>
    </comment>
  </commentList>
</comments>
</file>

<file path=xl/comments3.xml><?xml version="1.0" encoding="utf-8"?>
<comments xmlns="http://schemas.openxmlformats.org/spreadsheetml/2006/main">
  <authors>
    <author>Stu Wilbur</author>
  </authors>
  <commentList>
    <comment ref="J8" authorId="0">
      <text>
        <r>
          <rPr>
            <sz val="9"/>
            <color indexed="81"/>
            <rFont val="Tahoma"/>
            <family val="2"/>
          </rPr>
          <t>Assumed to be flat amount, so not taken.  Add "X" if percentage.</t>
        </r>
      </text>
    </comment>
    <comment ref="J17" authorId="0">
      <text>
        <r>
          <rPr>
            <sz val="9"/>
            <color indexed="81"/>
            <rFont val="Tahoma"/>
            <family val="2"/>
          </rPr>
          <t>Assumed to be percentage, therefore taken.  If a flat amount, remove X.</t>
        </r>
      </text>
    </comment>
    <comment ref="J18" authorId="0">
      <text>
        <r>
          <rPr>
            <sz val="9"/>
            <color indexed="81"/>
            <rFont val="Tahoma"/>
            <family val="2"/>
          </rPr>
          <t>Assumed to be percentage, therefore taken.  If a flat amount, remove X.</t>
        </r>
      </text>
    </comment>
    <comment ref="J19" authorId="0">
      <text>
        <r>
          <rPr>
            <sz val="9"/>
            <color indexed="81"/>
            <rFont val="Tahoma"/>
            <family val="2"/>
          </rPr>
          <t>Assumed to be percentage, therefore taken.  If a flat amount, remove X.</t>
        </r>
      </text>
    </comment>
    <comment ref="J21" authorId="0">
      <text>
        <r>
          <rPr>
            <sz val="9"/>
            <color indexed="81"/>
            <rFont val="Tahoma"/>
            <family val="2"/>
          </rPr>
          <t>Assumed to be percentage, therefore taken.  If a flat amount, remove X.</t>
        </r>
      </text>
    </comment>
    <comment ref="J22" authorId="0">
      <text>
        <r>
          <rPr>
            <sz val="9"/>
            <color indexed="81"/>
            <rFont val="Tahoma"/>
            <family val="2"/>
          </rPr>
          <t>Assumed to be percentage, therefore taken.  If a flat amount, remove X.</t>
        </r>
      </text>
    </comment>
    <comment ref="J23" authorId="0">
      <text>
        <r>
          <rPr>
            <sz val="9"/>
            <color indexed="81"/>
            <rFont val="Tahoma"/>
            <family val="2"/>
          </rPr>
          <t>Assumed to be percentage, therefore taken.  If a flat amount, remove X.</t>
        </r>
      </text>
    </comment>
    <comment ref="J24" authorId="0">
      <text>
        <r>
          <rPr>
            <sz val="9"/>
            <color indexed="81"/>
            <rFont val="Tahoma"/>
            <family val="2"/>
          </rPr>
          <t>Assumed to be percentage, therefore taken.  If a flat amount, remove X.</t>
        </r>
      </text>
    </comment>
    <comment ref="J25" authorId="0">
      <text>
        <r>
          <rPr>
            <sz val="9"/>
            <color indexed="81"/>
            <rFont val="Tahoma"/>
            <family val="2"/>
          </rPr>
          <t>Assumed to be percentage, therefore taken.  If a flat amount, remove X.</t>
        </r>
      </text>
    </comment>
  </commentList>
</comments>
</file>

<file path=xl/comments4.xml><?xml version="1.0" encoding="utf-8"?>
<comments xmlns="http://schemas.openxmlformats.org/spreadsheetml/2006/main">
  <authors>
    <author>Tracey Cappuccio</author>
  </authors>
  <commentList>
    <comment ref="V12" authorId="0">
      <text>
        <r>
          <rPr>
            <b/>
            <sz val="9"/>
            <color indexed="81"/>
            <rFont val="Tahoma"/>
            <family val="2"/>
          </rPr>
          <t>Tracey Cappuccio:</t>
        </r>
        <r>
          <rPr>
            <sz val="9"/>
            <color indexed="81"/>
            <rFont val="Tahoma"/>
            <family val="2"/>
          </rPr>
          <t xml:space="preserve">
Per ARS §38-810.C 
ER contribution is 23.5% effective 1/1/14 - 6/30/44</t>
        </r>
      </text>
    </comment>
    <comment ref="V14" authorId="0">
      <text>
        <r>
          <rPr>
            <b/>
            <sz val="9"/>
            <color indexed="81"/>
            <rFont val="Tahoma"/>
            <family val="2"/>
          </rPr>
          <t>Tracey Cappuccio:</t>
        </r>
        <r>
          <rPr>
            <sz val="9"/>
            <color indexed="81"/>
            <rFont val="Tahoma"/>
            <family val="2"/>
          </rPr>
          <t xml:space="preserve">
57.81 ER + 5% EE</t>
        </r>
      </text>
    </comment>
    <comment ref="S44" authorId="0">
      <text>
        <r>
          <rPr>
            <b/>
            <sz val="9"/>
            <color indexed="81"/>
            <rFont val="Tahoma"/>
            <family val="2"/>
          </rPr>
          <t>Tracey Cappuccio:</t>
        </r>
        <r>
          <rPr>
            <sz val="9"/>
            <color indexed="81"/>
            <rFont val="Tahoma"/>
            <family val="2"/>
          </rPr>
          <t xml:space="preserve">
ALWAYS 7.0%
</t>
        </r>
      </text>
    </comment>
    <comment ref="V44" authorId="0">
      <text>
        <r>
          <rPr>
            <b/>
            <sz val="9"/>
            <color indexed="81"/>
            <rFont val="Tahoma"/>
            <family val="2"/>
          </rPr>
          <t>Tracey Cappuccio:</t>
        </r>
        <r>
          <rPr>
            <sz val="9"/>
            <color indexed="81"/>
            <rFont val="Tahoma"/>
            <family val="2"/>
          </rPr>
          <t xml:space="preserve">
ALWAYS 7.0% + HBS</t>
        </r>
      </text>
    </comment>
  </commentList>
</comments>
</file>

<file path=xl/sharedStrings.xml><?xml version="1.0" encoding="utf-8"?>
<sst xmlns="http://schemas.openxmlformats.org/spreadsheetml/2006/main" count="1039" uniqueCount="356">
  <si>
    <t>TOTAL GROSS PAY</t>
  </si>
  <si>
    <t>Federal Taxes</t>
  </si>
  <si>
    <t>State Taxes</t>
  </si>
  <si>
    <t>Social Security</t>
  </si>
  <si>
    <t>Medicare</t>
  </si>
  <si>
    <t>State Tax</t>
  </si>
  <si>
    <t>Single</t>
  </si>
  <si>
    <t>Married</t>
  </si>
  <si>
    <t>Federal Tax</t>
  </si>
  <si>
    <t>GROSS PAY</t>
  </si>
  <si>
    <t>TAXES</t>
  </si>
  <si>
    <t>TOTAL TAXES</t>
  </si>
  <si>
    <t>ASRS</t>
  </si>
  <si>
    <t>PLAN-ASRS</t>
  </si>
  <si>
    <t>CORP</t>
  </si>
  <si>
    <t>EORP</t>
  </si>
  <si>
    <t>PSRS</t>
  </si>
  <si>
    <t>N/A</t>
  </si>
  <si>
    <t>NO RETIREMENT</t>
  </si>
  <si>
    <t>B</t>
  </si>
  <si>
    <t>F</t>
  </si>
  <si>
    <t>G</t>
  </si>
  <si>
    <t>H</t>
  </si>
  <si>
    <t>J</t>
  </si>
  <si>
    <t>Retirement</t>
  </si>
  <si>
    <t>PAYROLL TAX TABLES AND EMPLOYEE AND EMPLOYER RELATED EXPENSE RATES</t>
  </si>
  <si>
    <t>Updated:</t>
  </si>
  <si>
    <t>*items highlighted in yellow have been changed since the last update.</t>
  </si>
  <si>
    <t>Effective:</t>
  </si>
  <si>
    <t>FEDERAL WITHHOLDING</t>
  </si>
  <si>
    <t>26 PAYS</t>
  </si>
  <si>
    <t>FEDERAL TAX ID NUMBER  86-6004791</t>
  </si>
  <si>
    <t>RETIREMENT PLAN DEDUCTIONS</t>
  </si>
  <si>
    <t>EMPLOYEE</t>
  </si>
  <si>
    <t>EMPLOYER</t>
  </si>
  <si>
    <t>(a) SINGLE person (including head of household) -</t>
  </si>
  <si>
    <t>CODE</t>
  </si>
  <si>
    <t>RETIREMENT PLAN</t>
  </si>
  <si>
    <t>DED</t>
  </si>
  <si>
    <t>If the amount of wages (after subtracting withholding allowances) is:</t>
  </si>
  <si>
    <t>RATE</t>
  </si>
  <si>
    <t>The amount of income tax to withhold is:</t>
  </si>
  <si>
    <t>Not Over</t>
  </si>
  <si>
    <t>.............................................................................................</t>
  </si>
  <si>
    <t>Over</t>
  </si>
  <si>
    <t xml:space="preserve">But not over - </t>
  </si>
  <si>
    <t>of excess over -</t>
  </si>
  <si>
    <t>-</t>
  </si>
  <si>
    <t>plus</t>
  </si>
  <si>
    <t>………………………………………………………</t>
  </si>
  <si>
    <t>(b) MARRIED person</t>
  </si>
  <si>
    <t xml:space="preserve">     of excess over  -</t>
  </si>
  <si>
    <t>S2</t>
  </si>
  <si>
    <t>SUPP BENEFIT - JUVENILE CORRECTIONS</t>
  </si>
  <si>
    <t>S4</t>
  </si>
  <si>
    <t>SUPP BENEFIT  - PUBLIC SAFETY</t>
  </si>
  <si>
    <t>S5</t>
  </si>
  <si>
    <t>SUPP BENEFIT - GAME &amp; FISH</t>
  </si>
  <si>
    <t>S6</t>
  </si>
  <si>
    <t>SUPP BENEFIT - AG INVESTIGATORS</t>
  </si>
  <si>
    <t>S7</t>
  </si>
  <si>
    <t>SUPP BENEFIT - FIRE FIGHTERS</t>
  </si>
  <si>
    <t>S0</t>
  </si>
  <si>
    <t>SUPP BENEFIT  - CORRECTIONS</t>
  </si>
  <si>
    <t>SB</t>
  </si>
  <si>
    <t>SUPP BENEFIT  - LIQUOR CONTROL OFFICER</t>
  </si>
  <si>
    <t>SF</t>
  </si>
  <si>
    <t>SUPP BENEFIT  - STATE PARKS</t>
  </si>
  <si>
    <t>SG</t>
  </si>
  <si>
    <t>SUPP BENEFIT  - PUBLIC SAFETY DISPATCHERS</t>
  </si>
  <si>
    <t xml:space="preserve">To determine tax liability, deduct the following from gross pay:  number of withholding allowances X </t>
  </si>
  <si>
    <t>;</t>
  </si>
  <si>
    <t>SJ</t>
  </si>
  <si>
    <t>SUPP BENEFIT  - PUBLIC SAFETY DETENTION OFFICERS</t>
  </si>
  <si>
    <t>State sponsored dental, health, and life insurances, dependent care, medical reimbursement, and vision care;</t>
  </si>
  <si>
    <t>Contrbutions for all retirement systems; deferred compensation; tax sheltered annuities; bus cards and private transportation.</t>
  </si>
  <si>
    <t>LTD ASRS</t>
  </si>
  <si>
    <t>LTD PSPRS (HARTFORD)</t>
  </si>
  <si>
    <t>NO NEW ENROLLEES</t>
  </si>
  <si>
    <t>STATE WITHHOLDING</t>
  </si>
  <si>
    <t xml:space="preserve">STATE TAX ID NUMBER  07-0454000 </t>
  </si>
  <si>
    <t>ORP</t>
  </si>
  <si>
    <t>T.I.A.A./VALIC</t>
  </si>
  <si>
    <t>PR14 AZ FORMULA</t>
  </si>
  <si>
    <t>% of Gross Taxable Wages</t>
  </si>
  <si>
    <t>A</t>
  </si>
  <si>
    <t>CAPITOL POLICE (160) -&gt; to PS (007)</t>
  </si>
  <si>
    <t>C</t>
  </si>
  <si>
    <t xml:space="preserve">SYSTEM-ASRS </t>
  </si>
  <si>
    <t>7.00%</t>
  </si>
  <si>
    <t>=</t>
  </si>
  <si>
    <t>Optional.</t>
  </si>
  <si>
    <t>D</t>
  </si>
  <si>
    <t>NTWD</t>
  </si>
  <si>
    <t>EMPLOYER'S ANNUITY</t>
  </si>
  <si>
    <t>5.00%</t>
  </si>
  <si>
    <t>E</t>
  </si>
  <si>
    <t>DEFINED CONTRIBUTION</t>
  </si>
  <si>
    <t>(Default for employees who don't submit form A-4)</t>
  </si>
  <si>
    <t>OTHER DEDUCTIONS AND EMPLOYER RELATED EXPENSES</t>
  </si>
  <si>
    <t>If EE does not expect to have any tax liability this year. Must file Annually.</t>
  </si>
  <si>
    <t>EMPLOYER RELATED EXPENSES</t>
  </si>
  <si>
    <t>UNEMPLOYMENT INSURANCE (SUTA)</t>
  </si>
  <si>
    <t>T202</t>
  </si>
  <si>
    <t>TECHNOLOGY CHARGE (ADOA ASET)</t>
  </si>
  <si>
    <t>FICA (SOCIAL SECURITY AND MEDICARE) TAXES</t>
  </si>
  <si>
    <t>HR PRO RATA</t>
  </si>
  <si>
    <t>WAGES SUBJECT*</t>
  </si>
  <si>
    <t>ACCUM SICK ERE (RASL)</t>
  </si>
  <si>
    <t>SOCIAL SECURITY</t>
  </si>
  <si>
    <t>up to</t>
  </si>
  <si>
    <t>WORKER'S COMPENSATION</t>
  </si>
  <si>
    <t>varies by 
job class</t>
  </si>
  <si>
    <t>COUNSEL SERVICES (AG PRO RATA)</t>
  </si>
  <si>
    <t>MEDICARE</t>
  </si>
  <si>
    <t>HR PRO RATA (PERSONNEL BOARD)</t>
  </si>
  <si>
    <t>over</t>
  </si>
  <si>
    <t>ALT CONTRIBUTION RATE - DPS (007)</t>
  </si>
  <si>
    <t>*To determine taxable Social Security and Medicare income, deduct the following from gross pay:</t>
  </si>
  <si>
    <t>ALT CONTRIBUTION RATE - DOC (500)</t>
  </si>
  <si>
    <t>State sponsored dental, health, and life insurances, dependent care, medical reimbursement, and vision care.</t>
  </si>
  <si>
    <t>ALT CONTRIBUTION RATE - EO&amp;J (415)</t>
  </si>
  <si>
    <t>ALT CONTRIBUTION RATE - DJ (501)</t>
  </si>
  <si>
    <t>ALT CONTRIBUTION RATE - DISP (563)</t>
  </si>
  <si>
    <t>ALT CONTRIBUTION RATE - G&amp;F (035)</t>
  </si>
  <si>
    <t>MINIMUM WAGE</t>
  </si>
  <si>
    <t>ALT CONTRIBUTION RATE - AGI (151)</t>
  </si>
  <si>
    <t xml:space="preserve">Effective for hours worked on or after </t>
  </si>
  <si>
    <t>ALT CONTRIBUTION RATE - FIRE (119)</t>
  </si>
  <si>
    <t>FEDERAL</t>
  </si>
  <si>
    <t>ALT CONTRIBUTION RATE - LIQ (164)</t>
  </si>
  <si>
    <t>STATE*</t>
  </si>
  <si>
    <t>ALT CONTRIBUTION RATE - PARK (204)</t>
  </si>
  <si>
    <t>*The Arizona Minimum Wage Act does not apply to State Government employees</t>
  </si>
  <si>
    <t>ALT CONTRIBUTION RATE - ASRS</t>
  </si>
  <si>
    <t>No</t>
  </si>
  <si>
    <t>Question</t>
  </si>
  <si>
    <t>Yes</t>
  </si>
  <si>
    <t>Amount of any ASRS Remaining Payroll Deduction Agreement or Service Purchase</t>
  </si>
  <si>
    <t>Health Insurance</t>
  </si>
  <si>
    <t>Dental Insurance</t>
  </si>
  <si>
    <t>Vision Insurance</t>
  </si>
  <si>
    <t>Dependent Care</t>
  </si>
  <si>
    <t>Short Term Disability (STD)</t>
  </si>
  <si>
    <t>Bus Card Charge</t>
  </si>
  <si>
    <t>Dependent Life Insurance</t>
  </si>
  <si>
    <t>SECC</t>
  </si>
  <si>
    <t>Union Dues</t>
  </si>
  <si>
    <t>PRE-TAX DEDUCTIONS</t>
  </si>
  <si>
    <t>POST-TAX DEDUCTIONS</t>
  </si>
  <si>
    <t>TOTAL POST-TAX DEDUCTIONS</t>
  </si>
  <si>
    <t>TOTAL PRE-TAX DEDUCTIONS</t>
  </si>
  <si>
    <t>ESTIMATED NET PAY</t>
  </si>
  <si>
    <t>over 200K</t>
  </si>
  <si>
    <t>up to 200K</t>
  </si>
  <si>
    <t>Wages YTD</t>
  </si>
  <si>
    <t>Additional Amt (if any)</t>
  </si>
  <si>
    <t>Allowances 
(0 to 99)</t>
  </si>
  <si>
    <t>Status</t>
  </si>
  <si>
    <t>Exempt=No</t>
  </si>
  <si>
    <t>Exempt=Yes</t>
  </si>
  <si>
    <t>Exempt?</t>
  </si>
  <si>
    <t>Supplemental Life Insurance (Pre Tax)</t>
  </si>
  <si>
    <t>Supplemental Life Insurance (Post Tax)</t>
  </si>
  <si>
    <t>Social Security &amp; Medicare (FICA) Taxable Wage</t>
  </si>
  <si>
    <t>Federal 
Taxable 
Wage</t>
  </si>
  <si>
    <t>HOURS</t>
  </si>
  <si>
    <t>AMOUNT</t>
  </si>
  <si>
    <t>Wage Max</t>
  </si>
  <si>
    <t>Wage Tier</t>
  </si>
  <si>
    <t>Critical Retention Pay (if eligible)</t>
  </si>
  <si>
    <t>Overtime Pay</t>
  </si>
  <si>
    <t>Overtime</t>
  </si>
  <si>
    <t>Non Taxable Uniform Allowance</t>
  </si>
  <si>
    <t>Travel Reimbursement</t>
  </si>
  <si>
    <t>Other Non Taxable Reimbursement</t>
  </si>
  <si>
    <t>Creditor Garnishment</t>
  </si>
  <si>
    <t>EIN:</t>
  </si>
  <si>
    <t>Name:</t>
  </si>
  <si>
    <t>Deferred Compensation (Nationwide)</t>
  </si>
  <si>
    <t>Student Loan</t>
  </si>
  <si>
    <t>Other Pay by Hours (Holiday Pay, PDA, Sick Pay, Fam Sick Pay, etc)</t>
  </si>
  <si>
    <r>
      <t xml:space="preserve">Shift Differential - 2nd Shift </t>
    </r>
    <r>
      <rPr>
        <sz val="8"/>
        <color theme="1"/>
        <rFont val="Calibri"/>
        <family val="2"/>
        <scheme val="minor"/>
      </rPr>
      <t>(include shift diff hours in regular hours also)</t>
    </r>
  </si>
  <si>
    <r>
      <t xml:space="preserve">Shift Differential - 3rd Shift </t>
    </r>
    <r>
      <rPr>
        <sz val="8"/>
        <color theme="1"/>
        <rFont val="Calibri"/>
        <family val="2"/>
        <scheme val="minor"/>
      </rPr>
      <t>(include shift diff hours in regular hours also)</t>
    </r>
  </si>
  <si>
    <t>Taxable Allowance (such as uniform)</t>
  </si>
  <si>
    <t>ASRS Eligible Wage</t>
  </si>
  <si>
    <t>CORP Eligible Wage</t>
  </si>
  <si>
    <t>EORP Eligible Wage</t>
  </si>
  <si>
    <t>Military Differential Pay (if eligible)</t>
  </si>
  <si>
    <t>Donated Leave Pay</t>
  </si>
  <si>
    <t>PSRS Eligible Wage</t>
  </si>
  <si>
    <t>None</t>
  </si>
  <si>
    <t>ANNUAL TABLE</t>
  </si>
  <si>
    <t>Long Term Disability (LTD)</t>
  </si>
  <si>
    <t>Child Support</t>
  </si>
  <si>
    <t>Spousal Support</t>
  </si>
  <si>
    <t>Head of Household</t>
  </si>
  <si>
    <t>Married filing Joint</t>
  </si>
  <si>
    <t>Married filing Separate</t>
  </si>
  <si>
    <t>Filing Status</t>
  </si>
  <si>
    <t>Exemptions Claimed</t>
  </si>
  <si>
    <t>% of 
Disposable</t>
  </si>
  <si>
    <t>Disposable Income</t>
  </si>
  <si>
    <t>Single- Fixed Exemption</t>
  </si>
  <si>
    <t>Single- Variable Exemption</t>
  </si>
  <si>
    <t>Single- 1 Additional Exemption</t>
  </si>
  <si>
    <t>Single- 2 Additional Exemptions</t>
  </si>
  <si>
    <t>Head of Household- Fixed Exemption</t>
  </si>
  <si>
    <t>Head of Household- Variable Exemption</t>
  </si>
  <si>
    <t>Head of Household- 1 Additional Exemption</t>
  </si>
  <si>
    <t>Head of Household- 2 Additional Exemptions</t>
  </si>
  <si>
    <t>Married filing Joint- Fixed Exemption</t>
  </si>
  <si>
    <t>Married filing Joint- Variable Exemption</t>
  </si>
  <si>
    <t>Married filing Joint- 1 Additional Exemption</t>
  </si>
  <si>
    <t>Married filing Joint- 2 Additional Exemptions</t>
  </si>
  <si>
    <t>Married filing Separate- Fixed Exemption</t>
  </si>
  <si>
    <t>Married filing Separate- Variable Exemption</t>
  </si>
  <si>
    <t>Married filing Separate- 1 Additional Exemption</t>
  </si>
  <si>
    <t>Married filing Separate- 2 Additional Exemptions</t>
  </si>
  <si>
    <t>Married filing Joint- 3 Additional Exemptions</t>
  </si>
  <si>
    <t>Married filing Joint- 4 Additional Exemptions</t>
  </si>
  <si>
    <t>Married filing Separate- 3 Additional Exemptions</t>
  </si>
  <si>
    <t>Married filing Separate- 4 Additional Exemptions</t>
  </si>
  <si>
    <t>Filing Status, Exemptions</t>
  </si>
  <si>
    <t>Based on Selections from Check Estimate Summary Tab</t>
  </si>
  <si>
    <t>Options:</t>
  </si>
  <si>
    <t>Year
Served</t>
  </si>
  <si>
    <t>YEAR</t>
  </si>
  <si>
    <t>PAYOUT: Annual Leave (non separating employee)</t>
  </si>
  <si>
    <t>PAYOUT: Annual Leave (final pay)</t>
  </si>
  <si>
    <t>PAYOUT: Comp Leave (non separating employee)</t>
  </si>
  <si>
    <t>PAYOUT: Comp Leave (final pay)</t>
  </si>
  <si>
    <t>Annual Leave Taken</t>
  </si>
  <si>
    <t>If 65+ or BLIND, Additional Standard Deductions (0 to 4)</t>
  </si>
  <si>
    <t>Supporting Second Family?</t>
  </si>
  <si>
    <t>Child Support Arrears</t>
  </si>
  <si>
    <t>Spousal Support Arrears</t>
  </si>
  <si>
    <t>Arrears greater than 12 weeks?</t>
  </si>
  <si>
    <t>Disposable Income for 
Tax Levy</t>
  </si>
  <si>
    <t>Child Medical Support</t>
  </si>
  <si>
    <t>Child Medical Support Arrears</t>
  </si>
  <si>
    <t>IRS Tax Levy</t>
  </si>
  <si>
    <t>DOR Tax Levy</t>
  </si>
  <si>
    <t>DES Levy</t>
  </si>
  <si>
    <t>IRS LEVY</t>
  </si>
  <si>
    <t>DOR LEVY</t>
  </si>
  <si>
    <t>DES LEVY</t>
  </si>
  <si>
    <t>Clearinghouse Fee</t>
  </si>
  <si>
    <t>State Fee for Support Orders</t>
  </si>
  <si>
    <t>ORDER</t>
  </si>
  <si>
    <t>HRIS DEDUCTION PRIORITY</t>
  </si>
  <si>
    <t>RUNNING SUM</t>
  </si>
  <si>
    <t>If 100%, becomes priority 9, takes rest of net pay</t>
  </si>
  <si>
    <t>GROSS PAY (LESS REIMBURSEMENTS)</t>
  </si>
  <si>
    <t>Hidden</t>
  </si>
  <si>
    <t>Judgment Creditor</t>
  </si>
  <si>
    <t>Reimbursement</t>
  </si>
  <si>
    <t>Earnings</t>
  </si>
  <si>
    <t>Chart Label</t>
  </si>
  <si>
    <t>Disposable Income for Bankruptcy, Support Orders, Creditor Garnishments, Non Federal Student Loans</t>
  </si>
  <si>
    <t>Disposable Income for Fed Student Loan or Admin Wage Garnishments</t>
  </si>
  <si>
    <t>Garnishment 1</t>
  </si>
  <si>
    <t>Garnishment 2</t>
  </si>
  <si>
    <t>Garnishment 3</t>
  </si>
  <si>
    <t>Garnishment 4</t>
  </si>
  <si>
    <t>Garnishment 5</t>
  </si>
  <si>
    <t>Garnishment Fee</t>
  </si>
  <si>
    <t>Garn Type</t>
  </si>
  <si>
    <t>Federal Student Loan</t>
  </si>
  <si>
    <t>Non Fed Student Loan</t>
  </si>
  <si>
    <t>Garnishment Type</t>
  </si>
  <si>
    <t>Admin Wage Garnishment</t>
  </si>
  <si>
    <t>PAYOUT: Holiday Leave (non separating employee)</t>
  </si>
  <si>
    <t>PAYOUT: Holiday Leave (final pay)</t>
  </si>
  <si>
    <t>GAO Central Payroll - Paycheck Estimator           Wages Base Calculations</t>
  </si>
  <si>
    <r>
      <t xml:space="preserve">Regular Pay </t>
    </r>
    <r>
      <rPr>
        <sz val="8"/>
        <color theme="1"/>
        <rFont val="Calibri"/>
        <family val="2"/>
        <scheme val="minor"/>
      </rPr>
      <t>(estimate rate by taking regular pay / regular hours worked)</t>
    </r>
  </si>
  <si>
    <r>
      <t xml:space="preserve">Overtime Pay </t>
    </r>
    <r>
      <rPr>
        <sz val="8"/>
        <color theme="1"/>
        <rFont val="Calibri"/>
        <family val="2"/>
        <scheme val="minor"/>
      </rPr>
      <t xml:space="preserve"> (these hours are in addition to regular hours)</t>
    </r>
  </si>
  <si>
    <t>Green Cell = Input/Default, 
Yellow = Auto Calculated, 
Blue = Totals (Wage Bases)
Gray = N/A</t>
  </si>
  <si>
    <t>Green Cell = Input/Default,   Yellow = Auto Calculated,   Gray = N/A,   Blue = Totals</t>
  </si>
  <si>
    <r>
      <t xml:space="preserve">Shift Differential - 2nd Shift </t>
    </r>
    <r>
      <rPr>
        <sz val="8"/>
        <color theme="1"/>
        <rFont val="Calibri"/>
        <family val="2"/>
        <scheme val="minor"/>
      </rPr>
      <t>(these hours should already be in regular hours also)</t>
    </r>
  </si>
  <si>
    <r>
      <t>Shift Differential - 3rd Shift</t>
    </r>
    <r>
      <rPr>
        <sz val="8"/>
        <color theme="1"/>
        <rFont val="Calibri"/>
        <family val="2"/>
        <scheme val="minor"/>
      </rPr>
      <t xml:space="preserve"> (these hours should already be in regular hours also)</t>
    </r>
  </si>
  <si>
    <r>
      <t xml:space="preserve">Regular Pay  </t>
    </r>
    <r>
      <rPr>
        <sz val="8"/>
        <color theme="1"/>
        <rFont val="Calibri"/>
        <family val="2"/>
        <scheme val="minor"/>
      </rPr>
      <t>(estimate by taking regular pay / regular hours worked)</t>
    </r>
  </si>
  <si>
    <t>ADJUST</t>
  </si>
  <si>
    <t>TOTAL</t>
  </si>
  <si>
    <r>
      <t xml:space="preserve">Non-cash taxable income </t>
    </r>
    <r>
      <rPr>
        <sz val="8"/>
        <color theme="1"/>
        <rFont val="Calibri"/>
        <family val="2"/>
        <scheme val="minor"/>
      </rPr>
      <t>(such as imputed income or auto usage)(Enter as Adjust, shows on Wage Base Calcs tab)</t>
    </r>
  </si>
  <si>
    <t>Comp Leave Taken Pay</t>
  </si>
  <si>
    <t>Bankruptcy Payment</t>
  </si>
  <si>
    <t>Flat Amount Order (enter as positive)</t>
  </si>
  <si>
    <t>2. Disposable Earnings</t>
  </si>
  <si>
    <t>1. Gross Earnings</t>
  </si>
  <si>
    <t>3. Disposable Earnings X Max Garn %</t>
  </si>
  <si>
    <t>6. Smaller of 
3 (Max Garn) or 
5 (Disp less Exempt)</t>
  </si>
  <si>
    <t>Levy Exempt 
Amount</t>
  </si>
  <si>
    <t>7. Higher priority garnishment, fees, or if &lt;25%</t>
  </si>
  <si>
    <t>8. Subtract 7 from 6.  Max available for deduction.</t>
  </si>
  <si>
    <t>9a. If less than Max %, enter Disp Earnings X Garn %</t>
  </si>
  <si>
    <t>10. Smaller of 8,9a,9b,Bal</t>
  </si>
  <si>
    <t>Roth IRA</t>
  </si>
  <si>
    <t>Adjust</t>
  </si>
  <si>
    <t>Single- 3 Additional Exemptions</t>
  </si>
  <si>
    <t>Single- 4 Additional Exemptions</t>
  </si>
  <si>
    <t>Head of Household- 3 Additional Exemptions</t>
  </si>
  <si>
    <t>Head of Household- 4 Additional Exemptions</t>
  </si>
  <si>
    <t>Max Garn %</t>
  </si>
  <si>
    <t>Amount Owed 
(optional)
(enter as positive)</t>
  </si>
  <si>
    <t>Medical Reimbursement (AMRA)/Flex Spending</t>
  </si>
  <si>
    <r>
      <rPr>
        <b/>
        <sz val="11"/>
        <color theme="1"/>
        <rFont val="Calibri"/>
        <family val="2"/>
        <scheme val="minor"/>
      </rPr>
      <t>Other Pay by Hours</t>
    </r>
    <r>
      <rPr>
        <sz val="11"/>
        <color theme="1"/>
        <rFont val="Calibri"/>
        <family val="2"/>
        <scheme val="minor"/>
      </rPr>
      <t xml:space="preserve"> (Holiday Pay, PDA, Sick Pay, Fam Sick Pay, etc)</t>
    </r>
  </si>
  <si>
    <t>Other PostTax Deduction (Auto/Home Insurance, Computer Purchase, Misc. Recovery)</t>
  </si>
  <si>
    <t>Other PreTax Deduction (HSA, Private Trans, Van Pool, Tax Sheltered Annuity)</t>
  </si>
  <si>
    <t>Amount of any active 401(a) % irrevocable deferral</t>
  </si>
  <si>
    <t>AMOUNT EARNINGS ARE EXCEEDED BY DEDUCTIONS</t>
  </si>
  <si>
    <t>CYCLES</t>
  </si>
  <si>
    <t>X</t>
  </si>
  <si>
    <t xml:space="preserve"> </t>
  </si>
  <si>
    <t>T</t>
  </si>
  <si>
    <t>Cycle</t>
  </si>
  <si>
    <t>ESTIMATED PAY WITH CYCLES
(shows with appropriate deductions depending on cycle selected)</t>
  </si>
  <si>
    <t>ESTIMATED PAY WITH CYCLES AND PRIORITIES 
(excludes deductions causing negative net pay)</t>
  </si>
  <si>
    <t>Estimated 
Net Pay</t>
  </si>
  <si>
    <t>*This tool is to be used for estimation purposes only and does not capture all of the HRIS programming or scenarios in all circumstances.  This tool assumes there are no midperiod changes to pay rates or multiple pay rates.</t>
  </si>
  <si>
    <t>Changes in tax rates, retirement contribution rates, employee tax withholding elections, etc may produce different results and should be considered when evaluating the results of this tool.</t>
  </si>
  <si>
    <r>
      <rPr>
        <b/>
        <sz val="11"/>
        <color theme="1"/>
        <rFont val="Calibri"/>
        <family val="2"/>
        <scheme val="minor"/>
      </rPr>
      <t>Other Pay by Amount</t>
    </r>
    <r>
      <rPr>
        <sz val="11"/>
        <color theme="1"/>
        <rFont val="Calibri"/>
        <family val="2"/>
        <scheme val="minor"/>
      </rPr>
      <t xml:space="preserve"> (stipend, bonus, RASL, etc) - WITHOUT RETIREMENT</t>
    </r>
  </si>
  <si>
    <t>Other Pay by Amount (stipend, bonus, etc) - WITH RETIREMENT</t>
  </si>
  <si>
    <r>
      <rPr>
        <b/>
        <sz val="11"/>
        <color theme="1"/>
        <rFont val="Calibri"/>
        <family val="2"/>
        <scheme val="minor"/>
      </rPr>
      <t>Other Pay by Amount</t>
    </r>
    <r>
      <rPr>
        <sz val="11"/>
        <color theme="1"/>
        <rFont val="Calibri"/>
        <family val="2"/>
        <scheme val="minor"/>
      </rPr>
      <t xml:space="preserve"> (stipend, bonus, etc) - WITH RETIREMENT</t>
    </r>
  </si>
  <si>
    <t>Other Pay by Amount (stipend, bonus, RASL, etc) - WITHOUT RETIREMENT</t>
  </si>
  <si>
    <t>GAO Central Payroll - Paycheck Estimator</t>
  </si>
  <si>
    <t>Agency Initiated or a pre-1984 EE electing to have retirement contribution?</t>
  </si>
  <si>
    <t>A pre-1984 EE electing to have retirement contribution?</t>
  </si>
  <si>
    <t>1E</t>
  </si>
  <si>
    <t>ASRS EO</t>
  </si>
  <si>
    <t>ELECTED OFFICIALS ASRS PLAN</t>
  </si>
  <si>
    <r>
      <t xml:space="preserve">JUVENILE CORRECTIONS </t>
    </r>
    <r>
      <rPr>
        <sz val="8"/>
        <rFont val="Arial"/>
        <family val="2"/>
      </rPr>
      <t>(501)</t>
    </r>
  </si>
  <si>
    <r>
      <t xml:space="preserve">ELECTED OFFICIALS &amp; JUDGES </t>
    </r>
    <r>
      <rPr>
        <sz val="8"/>
        <rFont val="Arial"/>
        <family val="2"/>
      </rPr>
      <t>(415)</t>
    </r>
  </si>
  <si>
    <t>3E</t>
  </si>
  <si>
    <t>EODCRS</t>
  </si>
  <si>
    <r>
      <t>ELECTED OFFICIALS DEFINED CONTRIBUTION</t>
    </r>
    <r>
      <rPr>
        <sz val="8"/>
        <rFont val="Arial"/>
        <family val="2"/>
      </rPr>
      <t xml:space="preserve"> (NTWD)</t>
    </r>
  </si>
  <si>
    <r>
      <t xml:space="preserve">PUBLIC SAFETY </t>
    </r>
    <r>
      <rPr>
        <sz val="8"/>
        <rFont val="Arial"/>
        <family val="2"/>
      </rPr>
      <t>(007)</t>
    </r>
    <r>
      <rPr>
        <sz val="9"/>
        <rFont val="Arial"/>
        <family val="2"/>
      </rPr>
      <t xml:space="preserve"> </t>
    </r>
    <r>
      <rPr>
        <sz val="7"/>
        <rFont val="Arial"/>
        <family val="2"/>
      </rPr>
      <t>(ER pays 5% EE share)</t>
    </r>
  </si>
  <si>
    <r>
      <t xml:space="preserve">GAME &amp; FISH </t>
    </r>
    <r>
      <rPr>
        <sz val="8"/>
        <rFont val="Arial"/>
        <family val="2"/>
      </rPr>
      <t>(035)</t>
    </r>
  </si>
  <si>
    <r>
      <t>AG INVESTIGATORS</t>
    </r>
    <r>
      <rPr>
        <sz val="8"/>
        <rFont val="Arial"/>
        <family val="2"/>
      </rPr>
      <t xml:space="preserve"> (151)</t>
    </r>
  </si>
  <si>
    <r>
      <t xml:space="preserve">DEMA (FIRE FIGHTERS) </t>
    </r>
    <r>
      <rPr>
        <sz val="8"/>
        <rFont val="Arial"/>
        <family val="2"/>
      </rPr>
      <t>(119)</t>
    </r>
  </si>
  <si>
    <r>
      <t xml:space="preserve">CORRECTIONS </t>
    </r>
    <r>
      <rPr>
        <sz val="8"/>
        <rFont val="Arial"/>
        <family val="2"/>
      </rPr>
      <t>(500)</t>
    </r>
  </si>
  <si>
    <r>
      <t>LIQUOR CONTROL OFFICER</t>
    </r>
    <r>
      <rPr>
        <sz val="8"/>
        <rFont val="Arial"/>
        <family val="2"/>
      </rPr>
      <t xml:space="preserve"> (164)</t>
    </r>
  </si>
  <si>
    <r>
      <t xml:space="preserve">STATE PARKS </t>
    </r>
    <r>
      <rPr>
        <sz val="8"/>
        <rFont val="Arial"/>
        <family val="2"/>
      </rPr>
      <t>(204)</t>
    </r>
  </si>
  <si>
    <r>
      <t>PUBLIC SAFETY DISPATCHERS</t>
    </r>
    <r>
      <rPr>
        <sz val="8"/>
        <rFont val="Arial"/>
        <family val="2"/>
      </rPr>
      <t xml:space="preserve"> (563)</t>
    </r>
  </si>
  <si>
    <r>
      <t xml:space="preserve">DEFERRED RETIREMENT OPTION PLAN </t>
    </r>
    <r>
      <rPr>
        <sz val="8"/>
        <rFont val="Arial"/>
        <family val="2"/>
      </rPr>
      <t>(DROP)</t>
    </r>
  </si>
  <si>
    <r>
      <t>PUBLIC SAFETY DETENTION OFFICERS</t>
    </r>
    <r>
      <rPr>
        <sz val="8"/>
        <rFont val="Arial"/>
        <family val="2"/>
      </rPr>
      <t xml:space="preserve"> (564)</t>
    </r>
  </si>
  <si>
    <t>EODCRS DISABILITY</t>
  </si>
  <si>
    <t>ASRS LEGACY</t>
  </si>
  <si>
    <r>
      <t xml:space="preserve">ASRS LEGACY </t>
    </r>
    <r>
      <rPr>
        <sz val="8"/>
        <rFont val="Arial"/>
        <family val="2"/>
      </rPr>
      <t>(415)</t>
    </r>
  </si>
  <si>
    <t>EODCRS LEGACY</t>
  </si>
  <si>
    <t>EODCRS LEGACY (415)</t>
  </si>
  <si>
    <t>GAO Central Payroll</t>
  </si>
  <si>
    <t>Agency Payroll Guide I.B.</t>
  </si>
  <si>
    <t>updated 8.7.15</t>
  </si>
  <si>
    <t>Version 7.1.15</t>
  </si>
  <si>
    <t>Rates in this tool are only valid for payments made July 1, 2015 thru December 31,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</si>
</sst>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d\,\ yyyy"/>
    <numFmt numFmtId="167" formatCode="0.000%"/>
    <numFmt numFmtId="168" formatCode="m/d/yy;@"/>
    <numFmt numFmtId="169" formatCode="_(&quot;$&quot;* #,##0.0000_);_(&quot;$&quot;* \(#,##0.0000\);_(&quot;$&quot;* &quot;-&quot;??_);_(@_)"/>
    <numFmt numFmtId="170" formatCode="_(&quot;$&quot;* #,##0.000_);_(&quot;$&quot;* \(#,##0.000\);_(&quot;$&quot;* &quot;-&quot;??_);_(@_)"/>
    <numFmt numFmtId="171" formatCode="_(&quot;$&quot;* #,##0.00000_);_(&quot;$&quot;* \(#,##0.00000\);_(&quot;$&quot;* &quot;-&quot;??_);_(@_)"/>
    <numFmt numFmtId="172" formatCode="_(* #,##0.00000000_);_(* \(#,##0.00000000\);_(* &quot;-&quot;??_);_(@_)"/>
    <numFmt numFmtId="173" formatCode="&quot;$&quot;#,##0.00000_);\(&quot;$&quot;#,##0.00000\)"/>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7"/>
      <name val="Arial"/>
      <family val="2"/>
    </font>
    <font>
      <b/>
      <u/>
      <sz val="11"/>
      <color theme="1"/>
      <name val="Calibri"/>
      <family val="2"/>
      <scheme val="minor"/>
    </font>
    <font>
      <sz val="10"/>
      <name val="MS Sans Serif"/>
      <family val="2"/>
    </font>
    <font>
      <b/>
      <sz val="16"/>
      <name val="Arial"/>
      <family val="2"/>
    </font>
    <font>
      <b/>
      <sz val="10"/>
      <name val="Arial"/>
      <family val="2"/>
    </font>
    <font>
      <b/>
      <sz val="7"/>
      <name val="Arial"/>
      <family val="2"/>
    </font>
    <font>
      <b/>
      <sz val="14"/>
      <name val="Arial"/>
      <family val="2"/>
    </font>
    <font>
      <b/>
      <u/>
      <sz val="14"/>
      <color indexed="12"/>
      <name val="Arial"/>
      <family val="2"/>
    </font>
    <font>
      <b/>
      <sz val="10"/>
      <color indexed="8"/>
      <name val="Arial"/>
      <family val="2"/>
    </font>
    <font>
      <b/>
      <sz val="9"/>
      <name val="Arial"/>
      <family val="2"/>
    </font>
    <font>
      <sz val="7"/>
      <color indexed="8"/>
      <name val="Arial"/>
      <family val="2"/>
    </font>
    <font>
      <b/>
      <sz val="9"/>
      <color rgb="FFC00000"/>
      <name val="Arial"/>
      <family val="2"/>
    </font>
    <font>
      <sz val="8"/>
      <name val="Arial"/>
      <family val="2"/>
    </font>
    <font>
      <sz val="10"/>
      <name val="Arial"/>
      <family val="2"/>
    </font>
    <font>
      <u/>
      <sz val="9"/>
      <name val="Arial"/>
      <family val="2"/>
    </font>
    <font>
      <b/>
      <sz val="8"/>
      <name val="Arial"/>
      <family val="2"/>
    </font>
    <font>
      <b/>
      <u/>
      <sz val="8"/>
      <name val="Arial"/>
      <family val="2"/>
    </font>
    <font>
      <b/>
      <u/>
      <sz val="9"/>
      <name val="Arial"/>
      <family val="2"/>
    </font>
    <font>
      <u/>
      <sz val="10"/>
      <color indexed="12"/>
      <name val="MS Sans Serif"/>
      <family val="2"/>
    </font>
    <font>
      <sz val="6"/>
      <name val="Arial"/>
      <family val="2"/>
    </font>
    <font>
      <b/>
      <sz val="24"/>
      <color theme="1"/>
      <name val="Calibri"/>
      <family val="2"/>
      <scheme val="minor"/>
    </font>
    <font>
      <sz val="8"/>
      <color theme="1"/>
      <name val="Calibri"/>
      <family val="2"/>
      <scheme val="minor"/>
    </font>
    <font>
      <b/>
      <sz val="10"/>
      <color theme="1"/>
      <name val="Calibri"/>
      <family val="2"/>
      <scheme val="minor"/>
    </font>
    <font>
      <sz val="9"/>
      <color indexed="81"/>
      <name val="Tahoma"/>
      <family val="2"/>
    </font>
    <font>
      <sz val="6"/>
      <color theme="1"/>
      <name val="Calibri"/>
      <family val="2"/>
      <scheme val="minor"/>
    </font>
    <font>
      <b/>
      <sz val="18"/>
      <color theme="1"/>
      <name val="Calibri"/>
      <family val="2"/>
      <scheme val="minor"/>
    </font>
    <font>
      <b/>
      <sz val="9"/>
      <color theme="1"/>
      <name val="Calibri"/>
      <family val="2"/>
      <scheme val="minor"/>
    </font>
    <font>
      <sz val="11"/>
      <name val="Arial"/>
      <family val="2"/>
    </font>
    <font>
      <sz val="10"/>
      <color theme="1"/>
      <name val="Calibri"/>
      <family val="2"/>
      <scheme val="minor"/>
    </font>
    <font>
      <sz val="8"/>
      <color rgb="FFFF0000"/>
      <name val="Calibri"/>
      <family val="2"/>
      <scheme val="minor"/>
    </font>
    <font>
      <sz val="7"/>
      <color theme="1"/>
      <name val="Calibri"/>
      <family val="2"/>
      <scheme val="minor"/>
    </font>
    <font>
      <b/>
      <sz val="9"/>
      <color rgb="FFFF0000"/>
      <name val="Calibri"/>
      <family val="2"/>
      <scheme val="minor"/>
    </font>
    <font>
      <sz val="11"/>
      <color indexed="8"/>
      <name val="Calibri"/>
      <family val="2"/>
    </font>
    <font>
      <sz val="10"/>
      <color indexed="8"/>
      <name val="Arial"/>
      <family val="2"/>
    </font>
    <font>
      <sz val="9"/>
      <color theme="1"/>
      <name val="Calibri"/>
      <family val="2"/>
      <scheme val="minor"/>
    </font>
    <font>
      <b/>
      <sz val="7"/>
      <color theme="1"/>
      <name val="Calibri"/>
      <family val="2"/>
      <scheme val="minor"/>
    </font>
    <font>
      <b/>
      <u/>
      <sz val="10"/>
      <color theme="1"/>
      <name val="Calibri"/>
      <family val="2"/>
      <scheme val="minor"/>
    </font>
    <font>
      <sz val="10"/>
      <color rgb="FFFF0000"/>
      <name val="Calibri"/>
      <family val="2"/>
      <scheme val="minor"/>
    </font>
    <font>
      <i/>
      <sz val="18"/>
      <color theme="1"/>
      <name val="Calibri"/>
      <family val="2"/>
      <scheme val="minor"/>
    </font>
    <font>
      <sz val="9"/>
      <color theme="1"/>
      <name val="Arial"/>
      <family val="2"/>
    </font>
    <font>
      <sz val="7"/>
      <color theme="1"/>
      <name val="Arial"/>
      <family val="2"/>
    </font>
    <font>
      <sz val="8"/>
      <color theme="1"/>
      <name val="Arial"/>
      <family val="2"/>
    </font>
    <font>
      <sz val="10"/>
      <color theme="1"/>
      <name val="Arial"/>
      <family val="2"/>
    </font>
    <font>
      <b/>
      <sz val="9"/>
      <color indexed="81"/>
      <name val="Tahoma"/>
      <family val="2"/>
    </font>
    <font>
      <b/>
      <u/>
      <sz val="9"/>
      <color indexed="81"/>
      <name val="Tahoma"/>
      <family val="2"/>
    </font>
    <font>
      <b/>
      <u/>
      <sz val="14"/>
      <color rgb="FFFF0000"/>
      <name val="Calibri"/>
      <family val="2"/>
      <scheme val="minor"/>
    </font>
    <font>
      <sz val="9"/>
      <color rgb="FFFF0000"/>
      <name val="Arial"/>
      <family val="2"/>
    </font>
    <font>
      <sz val="12"/>
      <name val="Arial"/>
      <family val="2"/>
    </font>
  </fonts>
  <fills count="14">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99"/>
        <bgColor indexed="64"/>
      </patternFill>
    </fill>
    <fill>
      <patternFill patternType="solid">
        <fgColor indexed="4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7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ashed">
        <color indexed="8"/>
      </bottom>
      <diagonal/>
    </border>
    <border>
      <left/>
      <right/>
      <top style="dashed">
        <color indexed="8"/>
      </top>
      <bottom/>
      <diagonal/>
    </border>
    <border>
      <left/>
      <right/>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style="double">
        <color indexed="64"/>
      </top>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right/>
      <top/>
      <bottom style="dashed">
        <color theme="1"/>
      </bottom>
      <diagonal/>
    </border>
    <border>
      <left style="hair">
        <color rgb="FFFF0000"/>
      </left>
      <right style="hair">
        <color rgb="FFFF0000"/>
      </right>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theme="1"/>
      </bottom>
      <diagonal/>
    </border>
    <border>
      <left style="hair">
        <color rgb="FFFF0000"/>
      </left>
      <right style="hair">
        <color rgb="FFFF0000"/>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hair">
        <color theme="1"/>
      </bottom>
      <diagonal/>
    </border>
    <border>
      <left/>
      <right/>
      <top/>
      <bottom style="thin">
        <color rgb="FFFF0000"/>
      </bottom>
      <diagonal/>
    </border>
    <border>
      <left/>
      <right/>
      <top style="thin">
        <color rgb="FFFF0000"/>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8" fontId="6" fillId="0" borderId="0" applyFon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alignment vertical="top"/>
      <protection locked="0"/>
    </xf>
    <xf numFmtId="43" fontId="1" fillId="0" borderId="0" applyFont="0" applyFill="0" applyBorder="0" applyAlignment="0" applyProtection="0"/>
    <xf numFmtId="0" fontId="17" fillId="0" borderId="0"/>
    <xf numFmtId="44" fontId="17" fillId="0" borderId="0" applyFont="0" applyFill="0" applyBorder="0" applyAlignment="0" applyProtection="0"/>
    <xf numFmtId="0" fontId="37" fillId="0" borderId="0"/>
  </cellStyleXfs>
  <cellXfs count="472">
    <xf numFmtId="0" fontId="0" fillId="0" borderId="0" xfId="0"/>
    <xf numFmtId="165" fontId="0" fillId="0" borderId="0" xfId="2" applyNumberFormat="1" applyFont="1"/>
    <xf numFmtId="0" fontId="3" fillId="0" borderId="0" xfId="0" applyFont="1" applyFill="1" applyBorder="1"/>
    <xf numFmtId="0" fontId="5" fillId="0" borderId="0" xfId="0" applyFont="1"/>
    <xf numFmtId="0" fontId="7" fillId="0" borderId="0" xfId="3" applyFont="1" applyFill="1" applyBorder="1" applyAlignment="1">
      <alignment horizontal="left"/>
    </xf>
    <xf numFmtId="0" fontId="8" fillId="0" borderId="0" xfId="3" applyFont="1" applyFill="1" applyBorder="1"/>
    <xf numFmtId="0" fontId="8" fillId="0" borderId="0" xfId="3" applyFont="1" applyFill="1" applyBorder="1" applyAlignment="1">
      <alignment horizontal="center"/>
    </xf>
    <xf numFmtId="0" fontId="9" fillId="0" borderId="0" xfId="3" applyFont="1" applyFill="1" applyBorder="1" applyAlignment="1">
      <alignment horizontal="center"/>
    </xf>
    <xf numFmtId="0" fontId="10" fillId="0" borderId="0" xfId="3" applyFont="1" applyBorder="1" applyAlignment="1">
      <alignment horizontal="right"/>
    </xf>
    <xf numFmtId="0" fontId="8" fillId="0" borderId="0" xfId="3" applyFont="1" applyBorder="1"/>
    <xf numFmtId="0" fontId="8" fillId="5" borderId="0" xfId="3" applyFont="1" applyFill="1" applyBorder="1" applyAlignment="1">
      <alignment vertical="center"/>
    </xf>
    <xf numFmtId="0" fontId="8" fillId="0" borderId="0" xfId="3" applyFont="1" applyFill="1" applyBorder="1" applyAlignment="1">
      <alignment horizontal="right"/>
    </xf>
    <xf numFmtId="0" fontId="3" fillId="0" borderId="0" xfId="3" applyFont="1" applyFill="1" applyBorder="1"/>
    <xf numFmtId="0" fontId="4" fillId="0" borderId="0" xfId="3" applyFont="1" applyFill="1" applyBorder="1"/>
    <xf numFmtId="0" fontId="3" fillId="0" borderId="0" xfId="3" applyFont="1" applyFill="1" applyBorder="1" applyAlignment="1">
      <alignment horizontal="right"/>
    </xf>
    <xf numFmtId="0" fontId="3" fillId="0" borderId="0" xfId="3" applyFont="1" applyBorder="1"/>
    <xf numFmtId="0" fontId="4" fillId="0" borderId="0" xfId="3" applyFont="1" applyBorder="1"/>
    <xf numFmtId="0" fontId="3" fillId="0" borderId="0" xfId="3" applyFont="1" applyBorder="1" applyAlignment="1">
      <alignment horizontal="right"/>
    </xf>
    <xf numFmtId="0" fontId="11" fillId="6" borderId="0" xfId="3" applyFont="1" applyFill="1" applyBorder="1" applyAlignment="1">
      <alignment horizontal="left"/>
    </xf>
    <xf numFmtId="0" fontId="3" fillId="6" borderId="0" xfId="3" applyFont="1" applyFill="1" applyBorder="1"/>
    <xf numFmtId="0" fontId="3" fillId="6" borderId="0" xfId="3" applyFont="1" applyFill="1" applyBorder="1" applyAlignment="1">
      <alignment horizontal="right"/>
    </xf>
    <xf numFmtId="0" fontId="10" fillId="6" borderId="0" xfId="3" applyFont="1" applyFill="1" applyBorder="1" applyAlignment="1">
      <alignment horizontal="left"/>
    </xf>
    <xf numFmtId="0" fontId="4" fillId="6" borderId="0" xfId="3" applyFont="1" applyFill="1" applyBorder="1"/>
    <xf numFmtId="0" fontId="13" fillId="0" borderId="0" xfId="3" applyFont="1" applyFill="1" applyBorder="1" applyAlignment="1">
      <alignment horizontal="center"/>
    </xf>
    <xf numFmtId="0" fontId="13" fillId="0" borderId="0" xfId="3" applyFont="1" applyFill="1" applyBorder="1"/>
    <xf numFmtId="0" fontId="6" fillId="0" borderId="0" xfId="3" applyBorder="1"/>
    <xf numFmtId="0" fontId="3" fillId="0" borderId="6" xfId="3" applyFont="1" applyBorder="1"/>
    <xf numFmtId="0" fontId="14" fillId="0" borderId="6" xfId="3" applyFont="1" applyFill="1" applyBorder="1"/>
    <xf numFmtId="0" fontId="9" fillId="0" borderId="6" xfId="3" applyFont="1" applyFill="1" applyBorder="1" applyAlignment="1">
      <alignment horizontal="center"/>
    </xf>
    <xf numFmtId="0" fontId="13" fillId="0" borderId="6" xfId="3" applyFont="1" applyFill="1" applyBorder="1" applyAlignment="1">
      <alignment horizontal="center"/>
    </xf>
    <xf numFmtId="0" fontId="3" fillId="0" borderId="0" xfId="3" applyFont="1" applyFill="1" applyBorder="1" applyAlignment="1">
      <alignment horizontal="center"/>
    </xf>
    <xf numFmtId="10" fontId="3" fillId="0" borderId="0" xfId="3" applyNumberFormat="1" applyFont="1" applyFill="1" applyBorder="1" applyAlignment="1">
      <alignment horizontal="right"/>
    </xf>
    <xf numFmtId="0" fontId="3" fillId="0" borderId="4" xfId="3" applyFont="1" applyFill="1" applyBorder="1" applyAlignment="1">
      <alignment horizontal="center"/>
    </xf>
    <xf numFmtId="0" fontId="4" fillId="0" borderId="4" xfId="3" applyFont="1" applyBorder="1"/>
    <xf numFmtId="0" fontId="3" fillId="0" borderId="4" xfId="3" applyFont="1" applyFill="1" applyBorder="1"/>
    <xf numFmtId="10" fontId="3" fillId="0" borderId="4" xfId="3" applyNumberFormat="1" applyFont="1" applyFill="1" applyBorder="1" applyAlignment="1">
      <alignment horizontal="right"/>
    </xf>
    <xf numFmtId="0" fontId="6" fillId="0" borderId="0" xfId="3" applyFill="1" applyBorder="1"/>
    <xf numFmtId="0" fontId="3" fillId="0" borderId="5" xfId="3" applyFont="1" applyFill="1" applyBorder="1" applyAlignment="1">
      <alignment horizontal="center"/>
    </xf>
    <xf numFmtId="0" fontId="3" fillId="0" borderId="5" xfId="3" applyFont="1" applyFill="1" applyBorder="1"/>
    <xf numFmtId="0" fontId="4" fillId="0" borderId="4" xfId="3" applyFont="1" applyFill="1" applyBorder="1"/>
    <xf numFmtId="0" fontId="15" fillId="0" borderId="0" xfId="3" applyFont="1" applyFill="1" applyBorder="1" applyAlignment="1">
      <alignment horizontal="left"/>
    </xf>
    <xf numFmtId="0" fontId="16" fillId="0" borderId="0" xfId="3" applyFont="1" applyFill="1" applyBorder="1"/>
    <xf numFmtId="0" fontId="17" fillId="7" borderId="0" xfId="3" applyFont="1" applyFill="1" applyBorder="1"/>
    <xf numFmtId="0" fontId="3" fillId="7" borderId="0" xfId="3" applyFont="1" applyFill="1" applyBorder="1" applyAlignment="1">
      <alignment horizontal="right"/>
    </xf>
    <xf numFmtId="0" fontId="17" fillId="0" borderId="0" xfId="3" applyFont="1" applyFill="1" applyBorder="1"/>
    <xf numFmtId="0" fontId="3" fillId="4" borderId="0" xfId="3" applyFont="1" applyFill="1" applyBorder="1" applyAlignment="1">
      <alignment horizontal="center"/>
    </xf>
    <xf numFmtId="0" fontId="3" fillId="4" borderId="4" xfId="3" applyFont="1" applyFill="1" applyBorder="1" applyAlignment="1">
      <alignment horizontal="center"/>
    </xf>
    <xf numFmtId="0" fontId="18" fillId="0" borderId="0" xfId="3" applyFont="1" applyFill="1" applyBorder="1" applyAlignment="1">
      <alignment horizontal="left"/>
    </xf>
    <xf numFmtId="0" fontId="6" fillId="0" borderId="0" xfId="3" applyBorder="1" applyAlignment="1">
      <alignment horizontal="right"/>
    </xf>
    <xf numFmtId="0" fontId="6" fillId="0" borderId="0" xfId="3" applyBorder="1" applyAlignment="1">
      <alignment horizontal="center"/>
    </xf>
    <xf numFmtId="0" fontId="3" fillId="6" borderId="0" xfId="3" applyFont="1" applyFill="1" applyBorder="1" applyAlignment="1">
      <alignment horizontal="centerContinuous"/>
    </xf>
    <xf numFmtId="49" fontId="3" fillId="0" borderId="0" xfId="3" applyNumberFormat="1" applyFont="1" applyBorder="1"/>
    <xf numFmtId="0" fontId="20" fillId="0" borderId="6" xfId="3" applyFont="1" applyFill="1" applyBorder="1" applyAlignment="1">
      <alignment wrapText="1"/>
    </xf>
    <xf numFmtId="0" fontId="3" fillId="0" borderId="6" xfId="3" applyFont="1" applyFill="1" applyBorder="1"/>
    <xf numFmtId="0" fontId="3" fillId="0" borderId="0" xfId="3" quotePrefix="1" applyFont="1" applyFill="1" applyBorder="1" applyAlignment="1">
      <alignment horizontal="center"/>
    </xf>
    <xf numFmtId="165" fontId="3" fillId="0" borderId="0" xfId="3" applyNumberFormat="1" applyFont="1" applyFill="1" applyBorder="1" applyAlignment="1">
      <alignment horizontal="center"/>
    </xf>
    <xf numFmtId="0" fontId="17" fillId="0" borderId="0" xfId="3" applyFont="1" applyBorder="1"/>
    <xf numFmtId="49" fontId="3" fillId="0" borderId="0" xfId="3" applyNumberFormat="1" applyFont="1" applyFill="1" applyBorder="1"/>
    <xf numFmtId="0" fontId="6" fillId="6" borderId="0" xfId="3" applyFill="1" applyBorder="1"/>
    <xf numFmtId="0" fontId="6" fillId="6" borderId="0" xfId="3" applyFill="1" applyBorder="1" applyAlignment="1">
      <alignment horizontal="right"/>
    </xf>
    <xf numFmtId="0" fontId="3" fillId="0" borderId="0" xfId="3" applyNumberFormat="1" applyFont="1" applyFill="1" applyBorder="1"/>
    <xf numFmtId="0" fontId="3" fillId="0" borderId="6" xfId="3" applyFont="1" applyFill="1" applyBorder="1" applyAlignment="1">
      <alignment horizontal="right"/>
    </xf>
    <xf numFmtId="0" fontId="4" fillId="0" borderId="6" xfId="3" applyFont="1" applyFill="1" applyBorder="1"/>
    <xf numFmtId="0" fontId="3" fillId="0" borderId="6" xfId="3" applyFont="1" applyFill="1" applyBorder="1" applyAlignment="1">
      <alignment horizontal="center"/>
    </xf>
    <xf numFmtId="0" fontId="3" fillId="4" borderId="0" xfId="3" applyFont="1" applyFill="1" applyBorder="1" applyAlignment="1">
      <alignment horizontal="right"/>
    </xf>
    <xf numFmtId="167" fontId="3" fillId="0" borderId="0" xfId="5" quotePrefix="1" applyNumberFormat="1" applyFont="1" applyFill="1" applyBorder="1" applyAlignment="1">
      <alignment horizontal="right"/>
    </xf>
    <xf numFmtId="49" fontId="3" fillId="0" borderId="0" xfId="3" applyNumberFormat="1" applyFont="1" applyFill="1" applyBorder="1" applyAlignment="1">
      <alignment horizontal="left"/>
    </xf>
    <xf numFmtId="0" fontId="3" fillId="0" borderId="4" xfId="3" quotePrefix="1" applyFont="1" applyFill="1" applyBorder="1" applyAlignment="1">
      <alignment horizontal="center"/>
    </xf>
    <xf numFmtId="0" fontId="3" fillId="0" borderId="4" xfId="3" applyFont="1" applyFill="1" applyBorder="1" applyAlignment="1">
      <alignment horizontal="left"/>
    </xf>
    <xf numFmtId="0" fontId="3" fillId="4" borderId="4" xfId="3" applyFont="1" applyFill="1" applyBorder="1" applyAlignment="1">
      <alignment horizontal="right"/>
    </xf>
    <xf numFmtId="0" fontId="3" fillId="0" borderId="0" xfId="3" applyFont="1" applyFill="1" applyBorder="1" applyAlignment="1">
      <alignment horizontal="left"/>
    </xf>
    <xf numFmtId="0" fontId="21" fillId="0" borderId="0" xfId="3" applyFont="1" applyFill="1" applyBorder="1" applyAlignment="1">
      <alignment horizontal="left"/>
    </xf>
    <xf numFmtId="0" fontId="13" fillId="0" borderId="0" xfId="3" applyFont="1" applyFill="1" applyBorder="1" applyAlignment="1">
      <alignment horizontal="right"/>
    </xf>
    <xf numFmtId="5" fontId="22" fillId="0" borderId="0" xfId="6" applyNumberFormat="1" applyFill="1" applyBorder="1" applyAlignment="1" applyProtection="1"/>
    <xf numFmtId="0" fontId="4" fillId="0" borderId="0" xfId="3" applyFont="1" applyFill="1" applyBorder="1" applyAlignment="1">
      <alignment horizontal="right"/>
    </xf>
    <xf numFmtId="10" fontId="22" fillId="0" borderId="0" xfId="6" applyNumberFormat="1" applyFill="1" applyBorder="1" applyAlignment="1" applyProtection="1">
      <alignment horizontal="center"/>
    </xf>
    <xf numFmtId="165" fontId="3" fillId="0" borderId="0" xfId="3" applyNumberFormat="1" applyFont="1" applyFill="1" applyBorder="1" applyAlignment="1">
      <alignment horizontal="right"/>
    </xf>
    <xf numFmtId="5" fontId="16" fillId="0" borderId="0" xfId="3" applyNumberFormat="1" applyFont="1" applyFill="1" applyBorder="1" applyAlignment="1"/>
    <xf numFmtId="10" fontId="3" fillId="0" borderId="0" xfId="3" applyNumberFormat="1" applyFont="1" applyFill="1" applyBorder="1" applyAlignment="1">
      <alignment horizontal="center"/>
    </xf>
    <xf numFmtId="5" fontId="22" fillId="0" borderId="0" xfId="6" applyNumberFormat="1" applyFont="1" applyFill="1" applyBorder="1" applyAlignment="1" applyProtection="1"/>
    <xf numFmtId="0" fontId="16" fillId="0" borderId="0" xfId="3" quotePrefix="1" applyFont="1" applyFill="1" applyBorder="1"/>
    <xf numFmtId="0" fontId="3" fillId="0" borderId="0" xfId="3" applyNumberFormat="1" applyFont="1" applyBorder="1"/>
    <xf numFmtId="8" fontId="22" fillId="0" borderId="0" xfId="6" applyNumberFormat="1" applyFill="1" applyBorder="1" applyAlignment="1" applyProtection="1">
      <alignment horizontal="center"/>
    </xf>
    <xf numFmtId="0" fontId="4" fillId="0" borderId="5" xfId="3" applyFont="1" applyFill="1" applyBorder="1"/>
    <xf numFmtId="0" fontId="3" fillId="4" borderId="5" xfId="3" applyFont="1" applyFill="1" applyBorder="1" applyAlignment="1">
      <alignment horizontal="center"/>
    </xf>
    <xf numFmtId="0" fontId="3" fillId="4" borderId="5" xfId="3" applyFont="1" applyFill="1" applyBorder="1" applyAlignment="1">
      <alignment horizontal="right"/>
    </xf>
    <xf numFmtId="0" fontId="0" fillId="3" borderId="8" xfId="0" applyFill="1" applyBorder="1"/>
    <xf numFmtId="5" fontId="3" fillId="2" borderId="0" xfId="3" applyNumberFormat="1" applyFont="1" applyFill="1" applyBorder="1" applyAlignment="1">
      <alignment horizontal="right"/>
    </xf>
    <xf numFmtId="5" fontId="3" fillId="2" borderId="0" xfId="4" applyNumberFormat="1" applyFont="1" applyFill="1" applyBorder="1"/>
    <xf numFmtId="7" fontId="3" fillId="2" borderId="0" xfId="3" quotePrefix="1" applyNumberFormat="1" applyFont="1" applyFill="1" applyBorder="1" applyAlignment="1">
      <alignment horizontal="right"/>
    </xf>
    <xf numFmtId="44" fontId="0" fillId="3" borderId="8" xfId="0" applyNumberFormat="1" applyFill="1" applyBorder="1"/>
    <xf numFmtId="44" fontId="0" fillId="3" borderId="9" xfId="0" applyNumberFormat="1" applyFill="1" applyBorder="1"/>
    <xf numFmtId="0" fontId="0" fillId="8" borderId="0" xfId="0" applyFill="1"/>
    <xf numFmtId="0" fontId="0" fillId="9" borderId="0" xfId="0" applyFill="1"/>
    <xf numFmtId="0" fontId="0" fillId="10" borderId="17" xfId="0" applyFill="1" applyBorder="1"/>
    <xf numFmtId="0" fontId="0" fillId="10" borderId="18" xfId="0" applyFill="1" applyBorder="1"/>
    <xf numFmtId="0" fontId="0" fillId="10" borderId="19" xfId="0" applyFill="1" applyBorder="1"/>
    <xf numFmtId="0" fontId="0" fillId="10" borderId="20" xfId="0" applyFill="1" applyBorder="1"/>
    <xf numFmtId="0" fontId="24" fillId="10" borderId="0" xfId="0" applyFont="1" applyFill="1" applyBorder="1"/>
    <xf numFmtId="0" fontId="0" fillId="10" borderId="0" xfId="0" applyFill="1" applyBorder="1"/>
    <xf numFmtId="0" fontId="0" fillId="10" borderId="21" xfId="0" applyFill="1" applyBorder="1"/>
    <xf numFmtId="0" fontId="2" fillId="10" borderId="0" xfId="0" applyFont="1" applyFill="1" applyBorder="1"/>
    <xf numFmtId="0" fontId="0" fillId="10" borderId="0" xfId="0" applyFill="1" applyBorder="1" applyAlignment="1"/>
    <xf numFmtId="0" fontId="0" fillId="10" borderId="22" xfId="0" applyFill="1" applyBorder="1"/>
    <xf numFmtId="0" fontId="0" fillId="10" borderId="3" xfId="0" applyFill="1" applyBorder="1"/>
    <xf numFmtId="0" fontId="0" fillId="10" borderId="23" xfId="0" applyFill="1" applyBorder="1"/>
    <xf numFmtId="44" fontId="0" fillId="10" borderId="0" xfId="0" applyNumberFormat="1" applyFill="1" applyBorder="1"/>
    <xf numFmtId="44" fontId="0" fillId="10" borderId="14" xfId="0" applyNumberFormat="1" applyFill="1" applyBorder="1"/>
    <xf numFmtId="0" fontId="25" fillId="10" borderId="0" xfId="0" applyFont="1" applyFill="1" applyBorder="1" applyAlignment="1">
      <alignment horizontal="center" wrapText="1"/>
    </xf>
    <xf numFmtId="0" fontId="0" fillId="10" borderId="0" xfId="0" applyFill="1" applyBorder="1" applyAlignment="1">
      <alignment horizontal="right"/>
    </xf>
    <xf numFmtId="44" fontId="0" fillId="10" borderId="8" xfId="0" applyNumberFormat="1" applyFill="1" applyBorder="1"/>
    <xf numFmtId="44" fontId="0" fillId="10" borderId="9" xfId="0" applyNumberFormat="1" applyFill="1" applyBorder="1"/>
    <xf numFmtId="44" fontId="0" fillId="10" borderId="14" xfId="1" applyFont="1" applyFill="1" applyBorder="1"/>
    <xf numFmtId="0" fontId="0" fillId="10" borderId="12" xfId="0" applyFill="1" applyBorder="1" applyAlignment="1"/>
    <xf numFmtId="0" fontId="0" fillId="10" borderId="12" xfId="0" applyFill="1" applyBorder="1"/>
    <xf numFmtId="0" fontId="0" fillId="10" borderId="16" xfId="0" applyFill="1" applyBorder="1" applyAlignment="1"/>
    <xf numFmtId="0" fontId="0" fillId="10" borderId="1" xfId="0" applyFill="1" applyBorder="1"/>
    <xf numFmtId="0" fontId="0" fillId="10" borderId="16" xfId="0" applyFill="1" applyBorder="1"/>
    <xf numFmtId="0" fontId="2" fillId="10" borderId="1" xfId="0" applyFont="1" applyFill="1" applyBorder="1"/>
    <xf numFmtId="0" fontId="0" fillId="10" borderId="1" xfId="0" applyFill="1" applyBorder="1" applyAlignment="1"/>
    <xf numFmtId="164" fontId="0" fillId="0" borderId="0" xfId="0" applyNumberFormat="1"/>
    <xf numFmtId="0" fontId="25" fillId="10" borderId="0" xfId="0" applyFont="1" applyFill="1" applyBorder="1" applyAlignment="1">
      <alignment horizontal="right"/>
    </xf>
    <xf numFmtId="0" fontId="25" fillId="10" borderId="17" xfId="0" applyFont="1" applyFill="1" applyBorder="1" applyAlignment="1">
      <alignment horizontal="center" wrapText="1"/>
    </xf>
    <xf numFmtId="0" fontId="25" fillId="10" borderId="18" xfId="0" applyFont="1" applyFill="1" applyBorder="1" applyAlignment="1">
      <alignment horizontal="center" wrapText="1"/>
    </xf>
    <xf numFmtId="0" fontId="0" fillId="3" borderId="21" xfId="0" applyFill="1" applyBorder="1"/>
    <xf numFmtId="0" fontId="0" fillId="3" borderId="3" xfId="0" applyFill="1" applyBorder="1"/>
    <xf numFmtId="0" fontId="25" fillId="10" borderId="17" xfId="0" applyFont="1" applyFill="1" applyBorder="1" applyAlignment="1">
      <alignment horizontal="right"/>
    </xf>
    <xf numFmtId="0" fontId="25" fillId="10" borderId="22" xfId="0" applyFont="1" applyFill="1" applyBorder="1" applyAlignment="1">
      <alignment horizontal="right"/>
    </xf>
    <xf numFmtId="9" fontId="0" fillId="0" borderId="0" xfId="2" applyFont="1"/>
    <xf numFmtId="9" fontId="0" fillId="0" borderId="0" xfId="0" applyNumberFormat="1"/>
    <xf numFmtId="0" fontId="25" fillId="10" borderId="1" xfId="0" applyFont="1" applyFill="1" applyBorder="1" applyAlignment="1">
      <alignment horizontal="center" wrapText="1"/>
    </xf>
    <xf numFmtId="0" fontId="0" fillId="0" borderId="20" xfId="0" applyBorder="1"/>
    <xf numFmtId="0" fontId="0" fillId="0" borderId="37" xfId="0" applyBorder="1"/>
    <xf numFmtId="0" fontId="0" fillId="0" borderId="22" xfId="0" applyBorder="1"/>
    <xf numFmtId="0" fontId="0" fillId="0" borderId="0" xfId="0" applyBorder="1"/>
    <xf numFmtId="0" fontId="25" fillId="10" borderId="0" xfId="0" applyFont="1" applyFill="1" applyBorder="1"/>
    <xf numFmtId="43" fontId="0" fillId="2" borderId="0" xfId="7" applyFont="1" applyFill="1" applyBorder="1"/>
    <xf numFmtId="43" fontId="0" fillId="2" borderId="1" xfId="7" applyFont="1" applyFill="1" applyBorder="1"/>
    <xf numFmtId="43" fontId="0" fillId="0" borderId="0" xfId="7" applyFont="1" applyFill="1" applyBorder="1"/>
    <xf numFmtId="43" fontId="0" fillId="0" borderId="1" xfId="7" applyFont="1" applyFill="1" applyBorder="1"/>
    <xf numFmtId="0" fontId="0" fillId="10" borderId="19" xfId="0" applyFill="1" applyBorder="1" applyAlignment="1">
      <alignment horizontal="right"/>
    </xf>
    <xf numFmtId="0" fontId="25" fillId="10" borderId="20" xfId="0" applyFont="1" applyFill="1" applyBorder="1" applyAlignment="1">
      <alignment horizontal="right"/>
    </xf>
    <xf numFmtId="0" fontId="0" fillId="10" borderId="21" xfId="0" applyFill="1" applyBorder="1" applyAlignment="1">
      <alignment horizontal="right"/>
    </xf>
    <xf numFmtId="0" fontId="0" fillId="10" borderId="23" xfId="0" applyFill="1" applyBorder="1" applyAlignment="1">
      <alignment horizontal="right"/>
    </xf>
    <xf numFmtId="0" fontId="0" fillId="0" borderId="13" xfId="0" applyBorder="1"/>
    <xf numFmtId="0" fontId="0" fillId="0" borderId="14" xfId="0" applyBorder="1"/>
    <xf numFmtId="0" fontId="0" fillId="0" borderId="39" xfId="0" applyBorder="1"/>
    <xf numFmtId="0" fontId="29" fillId="3" borderId="40" xfId="0" applyFont="1" applyFill="1" applyBorder="1"/>
    <xf numFmtId="0" fontId="29" fillId="3" borderId="35" xfId="0" applyFont="1" applyFill="1" applyBorder="1"/>
    <xf numFmtId="0" fontId="29" fillId="3" borderId="36" xfId="0" applyFont="1" applyFill="1" applyBorder="1"/>
    <xf numFmtId="43" fontId="0" fillId="2" borderId="21" xfId="7" applyFont="1" applyFill="1" applyBorder="1"/>
    <xf numFmtId="43" fontId="0" fillId="2" borderId="38" xfId="7" applyFont="1" applyFill="1" applyBorder="1"/>
    <xf numFmtId="43" fontId="0" fillId="0" borderId="21" xfId="7" applyFont="1" applyFill="1" applyBorder="1"/>
    <xf numFmtId="43" fontId="0" fillId="0" borderId="38" xfId="7" applyFont="1" applyFill="1" applyBorder="1"/>
    <xf numFmtId="43" fontId="0" fillId="0" borderId="3" xfId="7" applyFont="1" applyFill="1" applyBorder="1"/>
    <xf numFmtId="43" fontId="0" fillId="0" borderId="23" xfId="7" applyFont="1" applyFill="1" applyBorder="1"/>
    <xf numFmtId="0" fontId="0" fillId="0" borderId="13" xfId="0" applyBorder="1" applyAlignment="1">
      <alignment horizontal="center"/>
    </xf>
    <xf numFmtId="0" fontId="0" fillId="0" borderId="39" xfId="0" applyBorder="1" applyAlignment="1">
      <alignment horizontal="center"/>
    </xf>
    <xf numFmtId="0" fontId="28" fillId="10" borderId="1" xfId="0" applyFont="1" applyFill="1" applyBorder="1" applyAlignment="1">
      <alignment horizontal="center" wrapText="1"/>
    </xf>
    <xf numFmtId="0" fontId="0" fillId="3" borderId="12" xfId="0" applyFill="1" applyBorder="1"/>
    <xf numFmtId="44" fontId="0" fillId="3" borderId="9" xfId="1" applyFont="1" applyFill="1" applyBorder="1" applyAlignment="1">
      <alignment horizontal="center"/>
    </xf>
    <xf numFmtId="44" fontId="0" fillId="3" borderId="2" xfId="1" applyFont="1" applyFill="1" applyBorder="1" applyAlignment="1">
      <alignment horizontal="center"/>
    </xf>
    <xf numFmtId="0" fontId="0" fillId="3" borderId="9" xfId="0" applyFill="1" applyBorder="1"/>
    <xf numFmtId="0" fontId="0" fillId="0" borderId="0" xfId="0" applyAlignment="1">
      <alignment horizontal="left"/>
    </xf>
    <xf numFmtId="0" fontId="25" fillId="10" borderId="17" xfId="0" applyFont="1" applyFill="1" applyBorder="1" applyAlignment="1">
      <alignment horizontal="left"/>
    </xf>
    <xf numFmtId="0" fontId="25" fillId="10" borderId="20" xfId="0" applyFont="1" applyFill="1" applyBorder="1" applyAlignment="1">
      <alignment horizontal="left"/>
    </xf>
    <xf numFmtId="0" fontId="25" fillId="10" borderId="22" xfId="0" applyFont="1" applyFill="1" applyBorder="1" applyAlignment="1">
      <alignment horizontal="left"/>
    </xf>
    <xf numFmtId="0" fontId="0" fillId="0" borderId="14" xfId="0" applyBorder="1" applyAlignment="1">
      <alignment horizontal="center"/>
    </xf>
    <xf numFmtId="0" fontId="2" fillId="0" borderId="0" xfId="0" applyFont="1"/>
    <xf numFmtId="44" fontId="0" fillId="3" borderId="7" xfId="0" applyNumberFormat="1" applyFill="1" applyBorder="1"/>
    <xf numFmtId="0" fontId="0" fillId="11" borderId="0" xfId="0" applyFill="1" applyBorder="1"/>
    <xf numFmtId="0" fontId="2" fillId="10" borderId="0" xfId="0" applyFont="1" applyFill="1" applyBorder="1" applyAlignment="1">
      <alignment horizontal="right"/>
    </xf>
    <xf numFmtId="44" fontId="2" fillId="10" borderId="2" xfId="0" applyNumberFormat="1" applyFont="1" applyFill="1" applyBorder="1"/>
    <xf numFmtId="0" fontId="26" fillId="10" borderId="0" xfId="0" applyFont="1" applyFill="1" applyBorder="1" applyAlignment="1">
      <alignment vertical="top"/>
    </xf>
    <xf numFmtId="7" fontId="0" fillId="10" borderId="32" xfId="1" applyNumberFormat="1" applyFont="1" applyFill="1" applyBorder="1"/>
    <xf numFmtId="10" fontId="0" fillId="10" borderId="33" xfId="0" applyNumberFormat="1" applyFill="1" applyBorder="1"/>
    <xf numFmtId="10" fontId="0" fillId="10" borderId="42" xfId="0" applyNumberFormat="1" applyFill="1" applyBorder="1"/>
    <xf numFmtId="44" fontId="0" fillId="10" borderId="0" xfId="1" applyFont="1" applyFill="1" applyBorder="1"/>
    <xf numFmtId="44" fontId="0" fillId="10" borderId="3" xfId="0" applyNumberFormat="1" applyFill="1" applyBorder="1"/>
    <xf numFmtId="0" fontId="31" fillId="0" borderId="0" xfId="8" applyFont="1"/>
    <xf numFmtId="44" fontId="31" fillId="0" borderId="0" xfId="9" applyFont="1"/>
    <xf numFmtId="44" fontId="31" fillId="0" borderId="0" xfId="8" applyNumberFormat="1" applyFont="1"/>
    <xf numFmtId="44" fontId="31" fillId="0" borderId="0" xfId="8" applyNumberFormat="1" applyFont="1" applyFill="1"/>
    <xf numFmtId="0" fontId="31" fillId="0" borderId="0" xfId="8" applyFont="1" applyAlignment="1">
      <alignment horizontal="center" wrapText="1"/>
    </xf>
    <xf numFmtId="0" fontId="31" fillId="0" borderId="0" xfId="8" quotePrefix="1" applyFont="1" applyAlignment="1">
      <alignment horizontal="center" wrapText="1"/>
    </xf>
    <xf numFmtId="171" fontId="0" fillId="10" borderId="0" xfId="0" applyNumberFormat="1" applyFill="1" applyBorder="1"/>
    <xf numFmtId="44" fontId="0" fillId="0" borderId="0" xfId="0" applyNumberFormat="1"/>
    <xf numFmtId="0" fontId="0" fillId="10" borderId="43" xfId="0" applyFill="1" applyBorder="1"/>
    <xf numFmtId="0" fontId="0" fillId="10" borderId="44" xfId="0" applyFill="1" applyBorder="1"/>
    <xf numFmtId="0" fontId="0" fillId="10" borderId="45" xfId="0" applyFill="1" applyBorder="1"/>
    <xf numFmtId="44" fontId="0" fillId="10" borderId="44" xfId="0" applyNumberFormat="1" applyFill="1" applyBorder="1"/>
    <xf numFmtId="0" fontId="0" fillId="10" borderId="43" xfId="0" applyFill="1" applyBorder="1" applyAlignment="1"/>
    <xf numFmtId="0" fontId="0" fillId="10" borderId="46" xfId="0" applyFill="1" applyBorder="1"/>
    <xf numFmtId="0" fontId="25" fillId="10" borderId="44" xfId="0" applyFont="1" applyFill="1" applyBorder="1" applyAlignment="1">
      <alignment horizontal="center" wrapText="1"/>
    </xf>
    <xf numFmtId="44" fontId="0" fillId="10" borderId="44" xfId="1" applyFont="1" applyFill="1" applyBorder="1" applyAlignment="1"/>
    <xf numFmtId="0" fontId="28" fillId="10" borderId="44" xfId="0" applyFont="1" applyFill="1" applyBorder="1" applyAlignment="1">
      <alignment horizontal="right" wrapText="1"/>
    </xf>
    <xf numFmtId="0" fontId="0" fillId="10" borderId="38" xfId="0" applyFill="1" applyBorder="1"/>
    <xf numFmtId="0" fontId="25" fillId="10" borderId="35" xfId="0" applyFont="1" applyFill="1" applyBorder="1" applyAlignment="1">
      <alignment horizontal="center" wrapText="1"/>
    </xf>
    <xf numFmtId="0" fontId="0" fillId="10" borderId="47" xfId="0" applyFill="1" applyBorder="1"/>
    <xf numFmtId="0" fontId="0" fillId="10" borderId="48" xfId="0" applyFill="1" applyBorder="1"/>
    <xf numFmtId="0" fontId="0" fillId="10" borderId="49" xfId="0" applyFill="1" applyBorder="1"/>
    <xf numFmtId="0" fontId="0" fillId="10" borderId="47" xfId="0" applyFill="1" applyBorder="1" applyAlignment="1"/>
    <xf numFmtId="0" fontId="0" fillId="10" borderId="14" xfId="0" applyFill="1" applyBorder="1"/>
    <xf numFmtId="44" fontId="2" fillId="10" borderId="14" xfId="0" applyNumberFormat="1" applyFont="1" applyFill="1" applyBorder="1"/>
    <xf numFmtId="0" fontId="0" fillId="10" borderId="50" xfId="0" applyFill="1" applyBorder="1"/>
    <xf numFmtId="44" fontId="0" fillId="10" borderId="1" xfId="0" applyNumberFormat="1" applyFill="1" applyBorder="1"/>
    <xf numFmtId="0" fontId="0" fillId="10" borderId="9" xfId="0" applyFill="1" applyBorder="1"/>
    <xf numFmtId="0" fontId="0" fillId="10" borderId="8" xfId="0" applyFill="1" applyBorder="1"/>
    <xf numFmtId="0" fontId="2" fillId="12" borderId="10" xfId="0" applyFont="1" applyFill="1" applyBorder="1"/>
    <xf numFmtId="0" fontId="0" fillId="12" borderId="10" xfId="0" applyFill="1" applyBorder="1"/>
    <xf numFmtId="44" fontId="2" fillId="12" borderId="41" xfId="0" applyNumberFormat="1" applyFont="1" applyFill="1" applyBorder="1"/>
    <xf numFmtId="0" fontId="2" fillId="12" borderId="10" xfId="0" applyFont="1" applyFill="1" applyBorder="1" applyAlignment="1"/>
    <xf numFmtId="0" fontId="2" fillId="12" borderId="15" xfId="0" applyFont="1" applyFill="1" applyBorder="1"/>
    <xf numFmtId="0" fontId="0" fillId="12" borderId="24" xfId="0" applyFill="1" applyBorder="1"/>
    <xf numFmtId="44" fontId="0" fillId="12" borderId="24" xfId="0" applyNumberFormat="1" applyFill="1" applyBorder="1"/>
    <xf numFmtId="44" fontId="2" fillId="12" borderId="25" xfId="1" applyFont="1" applyFill="1" applyBorder="1"/>
    <xf numFmtId="0" fontId="2" fillId="10" borderId="10" xfId="0" applyFont="1" applyFill="1" applyBorder="1"/>
    <xf numFmtId="0" fontId="2" fillId="10" borderId="10" xfId="0" applyFont="1" applyFill="1" applyBorder="1" applyAlignment="1"/>
    <xf numFmtId="0" fontId="2" fillId="10" borderId="0" xfId="0" applyFont="1" applyFill="1" applyBorder="1" applyAlignment="1"/>
    <xf numFmtId="44" fontId="2" fillId="12" borderId="26" xfId="0" applyNumberFormat="1" applyFont="1" applyFill="1" applyBorder="1"/>
    <xf numFmtId="44" fontId="2" fillId="12" borderId="2" xfId="0" applyNumberFormat="1" applyFont="1" applyFill="1" applyBorder="1"/>
    <xf numFmtId="44" fontId="0" fillId="10" borderId="21" xfId="1" applyFont="1" applyFill="1" applyBorder="1"/>
    <xf numFmtId="0" fontId="0" fillId="10" borderId="37" xfId="0" applyFill="1" applyBorder="1"/>
    <xf numFmtId="0" fontId="0" fillId="10" borderId="36" xfId="0" applyFill="1" applyBorder="1"/>
    <xf numFmtId="170" fontId="0" fillId="3" borderId="14" xfId="0" applyNumberFormat="1" applyFill="1" applyBorder="1"/>
    <xf numFmtId="44" fontId="0" fillId="3" borderId="14" xfId="0" applyNumberFormat="1" applyFill="1" applyBorder="1"/>
    <xf numFmtId="0" fontId="0" fillId="10" borderId="53" xfId="0" applyFill="1" applyBorder="1"/>
    <xf numFmtId="44" fontId="0" fillId="10" borderId="50" xfId="0" applyNumberFormat="1" applyFill="1" applyBorder="1"/>
    <xf numFmtId="0" fontId="25" fillId="3" borderId="2" xfId="0" applyFont="1" applyFill="1" applyBorder="1" applyAlignment="1">
      <alignment horizontal="center" wrapText="1"/>
    </xf>
    <xf numFmtId="44" fontId="0" fillId="3" borderId="2" xfId="0" applyNumberFormat="1" applyFill="1" applyBorder="1"/>
    <xf numFmtId="44" fontId="0" fillId="10" borderId="21" xfId="1" applyNumberFormat="1" applyFont="1" applyFill="1" applyBorder="1"/>
    <xf numFmtId="0" fontId="0" fillId="10" borderId="15" xfId="0" applyFill="1" applyBorder="1" applyAlignment="1"/>
    <xf numFmtId="0" fontId="0" fillId="10" borderId="24" xfId="0" applyFill="1" applyBorder="1"/>
    <xf numFmtId="7" fontId="0" fillId="10" borderId="8" xfId="1" applyNumberFormat="1" applyFont="1" applyFill="1" applyBorder="1"/>
    <xf numFmtId="0" fontId="25" fillId="10" borderId="45" xfId="0" applyFont="1" applyFill="1" applyBorder="1" applyAlignment="1">
      <alignment horizontal="right"/>
    </xf>
    <xf numFmtId="10" fontId="0" fillId="10" borderId="54" xfId="0" applyNumberFormat="1" applyFill="1" applyBorder="1"/>
    <xf numFmtId="0" fontId="34" fillId="10" borderId="1" xfId="0" applyFont="1" applyFill="1" applyBorder="1" applyAlignment="1">
      <alignment horizontal="center" wrapText="1"/>
    </xf>
    <xf numFmtId="43" fontId="32" fillId="10" borderId="2" xfId="7" applyFont="1" applyFill="1" applyBorder="1"/>
    <xf numFmtId="9" fontId="32" fillId="10" borderId="2" xfId="0" applyNumberFormat="1" applyFont="1" applyFill="1" applyBorder="1" applyAlignment="1">
      <alignment horizontal="center"/>
    </xf>
    <xf numFmtId="43" fontId="32" fillId="3" borderId="2" xfId="7" applyFont="1" applyFill="1" applyBorder="1"/>
    <xf numFmtId="9" fontId="32" fillId="10" borderId="2" xfId="2" applyFont="1" applyFill="1" applyBorder="1" applyAlignment="1">
      <alignment horizontal="center"/>
    </xf>
    <xf numFmtId="0" fontId="34" fillId="10" borderId="20" xfId="0" applyFont="1" applyFill="1" applyBorder="1" applyAlignment="1">
      <alignment horizontal="right"/>
    </xf>
    <xf numFmtId="0" fontId="34" fillId="10" borderId="31" xfId="0" applyFont="1" applyFill="1" applyBorder="1" applyAlignment="1">
      <alignment horizontal="right"/>
    </xf>
    <xf numFmtId="0" fontId="0" fillId="3" borderId="55" xfId="0" applyFill="1" applyBorder="1"/>
    <xf numFmtId="0" fontId="34" fillId="10" borderId="56" xfId="0" applyFont="1" applyFill="1" applyBorder="1" applyAlignment="1">
      <alignment horizontal="right"/>
    </xf>
    <xf numFmtId="44" fontId="2" fillId="10" borderId="0" xfId="1" applyFont="1" applyFill="1" applyBorder="1"/>
    <xf numFmtId="0" fontId="2" fillId="10" borderId="16" xfId="0" applyFont="1" applyFill="1" applyBorder="1"/>
    <xf numFmtId="0" fontId="2" fillId="10" borderId="16" xfId="0" applyFont="1" applyFill="1" applyBorder="1" applyAlignment="1"/>
    <xf numFmtId="0" fontId="2" fillId="10" borderId="47" xfId="0" applyFont="1" applyFill="1" applyBorder="1" applyAlignment="1"/>
    <xf numFmtId="0" fontId="0" fillId="11" borderId="57" xfId="0" applyFill="1" applyBorder="1"/>
    <xf numFmtId="44" fontId="0" fillId="10" borderId="59" xfId="0" applyNumberFormat="1" applyFill="1" applyBorder="1"/>
    <xf numFmtId="43" fontId="31" fillId="0" borderId="0" xfId="7" applyFont="1"/>
    <xf numFmtId="172" fontId="31" fillId="0" borderId="0" xfId="8" applyNumberFormat="1" applyFont="1"/>
    <xf numFmtId="0" fontId="0" fillId="9" borderId="0" xfId="0" applyFill="1" applyAlignment="1">
      <alignment horizontal="center"/>
    </xf>
    <xf numFmtId="0" fontId="0" fillId="8" borderId="0" xfId="0" applyFill="1" applyAlignment="1">
      <alignment horizontal="center"/>
    </xf>
    <xf numFmtId="0" fontId="0" fillId="10" borderId="1" xfId="0" applyFill="1" applyBorder="1" applyAlignment="1">
      <alignment horizontal="center"/>
    </xf>
    <xf numFmtId="0" fontId="0" fillId="10" borderId="3" xfId="0" applyFill="1" applyBorder="1" applyAlignment="1">
      <alignment horizontal="center"/>
    </xf>
    <xf numFmtId="0" fontId="0" fillId="0" borderId="0" xfId="0" applyAlignment="1">
      <alignment horizontal="center"/>
    </xf>
    <xf numFmtId="0" fontId="0" fillId="2" borderId="0" xfId="0" applyFill="1" applyBorder="1"/>
    <xf numFmtId="0" fontId="2" fillId="12" borderId="60" xfId="0" applyFont="1" applyFill="1" applyBorder="1" applyAlignment="1">
      <alignment horizontal="center"/>
    </xf>
    <xf numFmtId="0" fontId="2" fillId="12" borderId="61" xfId="0" applyFont="1" applyFill="1" applyBorder="1" applyAlignment="1">
      <alignment horizontal="center" wrapText="1"/>
    </xf>
    <xf numFmtId="0" fontId="2" fillId="12" borderId="31" xfId="0" applyFont="1" applyFill="1" applyBorder="1" applyAlignment="1">
      <alignment horizontal="center"/>
    </xf>
    <xf numFmtId="0" fontId="2" fillId="12" borderId="61" xfId="0" applyFont="1" applyFill="1" applyBorder="1" applyAlignment="1">
      <alignment horizontal="center"/>
    </xf>
    <xf numFmtId="44" fontId="0" fillId="2" borderId="0" xfId="0" applyNumberFormat="1" applyFill="1" applyBorder="1"/>
    <xf numFmtId="0" fontId="0" fillId="0" borderId="0" xfId="0" quotePrefix="1"/>
    <xf numFmtId="0" fontId="0" fillId="10" borderId="57" xfId="0" applyFill="1" applyBorder="1"/>
    <xf numFmtId="0" fontId="36" fillId="0" borderId="34" xfId="10" applyFont="1" applyFill="1" applyBorder="1" applyAlignment="1">
      <alignment horizontal="center"/>
    </xf>
    <xf numFmtId="0" fontId="36" fillId="3" borderId="34" xfId="10" applyFont="1" applyFill="1" applyBorder="1" applyAlignment="1">
      <alignment horizontal="center"/>
    </xf>
    <xf numFmtId="0" fontId="35" fillId="10" borderId="58" xfId="0" applyFont="1" applyFill="1" applyBorder="1" applyAlignment="1">
      <alignment horizontal="right"/>
    </xf>
    <xf numFmtId="0" fontId="38" fillId="10" borderId="11" xfId="0" applyFont="1" applyFill="1" applyBorder="1" applyAlignment="1">
      <alignment horizontal="left" wrapText="1"/>
    </xf>
    <xf numFmtId="0" fontId="30" fillId="10" borderId="0" xfId="0" applyFont="1" applyFill="1" applyBorder="1" applyAlignment="1">
      <alignment horizontal="right" wrapText="1"/>
    </xf>
    <xf numFmtId="44" fontId="2" fillId="11" borderId="62" xfId="1" applyFont="1" applyFill="1" applyBorder="1"/>
    <xf numFmtId="0" fontId="0" fillId="10" borderId="15" xfId="0" applyFill="1" applyBorder="1" applyAlignment="1">
      <alignment horizontal="right"/>
    </xf>
    <xf numFmtId="0" fontId="40" fillId="10" borderId="0" xfId="0" applyFont="1" applyFill="1" applyBorder="1" applyAlignment="1">
      <alignment horizontal="right" vertical="top"/>
    </xf>
    <xf numFmtId="0" fontId="41" fillId="10" borderId="44" xfId="0" applyFont="1" applyFill="1" applyBorder="1" applyAlignment="1">
      <alignment horizontal="right"/>
    </xf>
    <xf numFmtId="0" fontId="25" fillId="2" borderId="24" xfId="0" applyFont="1" applyFill="1" applyBorder="1" applyAlignment="1" applyProtection="1">
      <alignment horizontal="center" wrapText="1"/>
      <protection locked="0"/>
    </xf>
    <xf numFmtId="169" fontId="0" fillId="2" borderId="9" xfId="1" applyNumberFormat="1" applyFont="1" applyFill="1" applyBorder="1" applyProtection="1">
      <protection locked="0"/>
    </xf>
    <xf numFmtId="164" fontId="0" fillId="2" borderId="16" xfId="0" applyNumberFormat="1" applyFill="1" applyBorder="1" applyProtection="1">
      <protection locked="0"/>
    </xf>
    <xf numFmtId="44" fontId="0" fillId="2" borderId="54" xfId="1" applyFont="1" applyFill="1" applyBorder="1" applyProtection="1">
      <protection locked="0"/>
    </xf>
    <xf numFmtId="164" fontId="0" fillId="2" borderId="2" xfId="0" applyNumberFormat="1" applyFill="1" applyBorder="1" applyProtection="1">
      <protection locked="0"/>
    </xf>
    <xf numFmtId="164" fontId="0" fillId="2" borderId="15" xfId="0" applyNumberFormat="1" applyFill="1" applyBorder="1" applyProtection="1">
      <protection locked="0"/>
    </xf>
    <xf numFmtId="44" fontId="0" fillId="2" borderId="51" xfId="1" applyFont="1" applyFill="1" applyBorder="1" applyProtection="1">
      <protection locked="0"/>
    </xf>
    <xf numFmtId="165" fontId="0" fillId="2" borderId="2" xfId="0" applyNumberFormat="1" applyFill="1" applyBorder="1" applyProtection="1">
      <protection locked="0"/>
    </xf>
    <xf numFmtId="0" fontId="0" fillId="2" borderId="2" xfId="0" applyFill="1" applyBorder="1" applyProtection="1">
      <protection locked="0"/>
    </xf>
    <xf numFmtId="44" fontId="0" fillId="2" borderId="2" xfId="0" applyNumberFormat="1" applyFill="1" applyBorder="1" applyAlignment="1" applyProtection="1">
      <alignment horizontal="center"/>
      <protection locked="0"/>
    </xf>
    <xf numFmtId="44" fontId="0" fillId="2" borderId="29" xfId="0" applyNumberFormat="1" applyFill="1" applyBorder="1" applyAlignment="1" applyProtection="1">
      <alignment horizontal="center"/>
      <protection locked="0"/>
    </xf>
    <xf numFmtId="10" fontId="0" fillId="2" borderId="30" xfId="0" applyNumberFormat="1" applyFill="1" applyBorder="1" applyProtection="1">
      <protection locked="0"/>
    </xf>
    <xf numFmtId="44" fontId="0" fillId="2" borderId="2" xfId="1" applyFont="1" applyFill="1" applyBorder="1" applyProtection="1">
      <protection locked="0"/>
    </xf>
    <xf numFmtId="9" fontId="0" fillId="2" borderId="2" xfId="0" applyNumberFormat="1" applyFill="1" applyBorder="1" applyProtection="1">
      <protection locked="0"/>
    </xf>
    <xf numFmtId="44" fontId="0" fillId="2" borderId="52" xfId="1" applyFont="1" applyFill="1" applyBorder="1" applyProtection="1">
      <protection locked="0"/>
    </xf>
    <xf numFmtId="9" fontId="0" fillId="2" borderId="2" xfId="2" applyFont="1" applyFill="1" applyBorder="1" applyProtection="1">
      <protection locked="0"/>
    </xf>
    <xf numFmtId="0" fontId="25" fillId="2" borderId="2" xfId="0" applyFont="1" applyFill="1" applyBorder="1" applyAlignment="1" applyProtection="1">
      <alignment horizontal="center"/>
      <protection locked="0"/>
    </xf>
    <xf numFmtId="0" fontId="25" fillId="2" borderId="2" xfId="0" applyFont="1" applyFill="1" applyBorder="1" applyAlignment="1" applyProtection="1">
      <alignment horizontal="center" wrapText="1"/>
      <protection locked="0"/>
    </xf>
    <xf numFmtId="0" fontId="0" fillId="2" borderId="2" xfId="0"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0" fontId="0" fillId="2" borderId="27" xfId="0" applyFill="1" applyBorder="1" applyProtection="1">
      <protection locked="0"/>
    </xf>
    <xf numFmtId="0" fontId="0" fillId="2" borderId="28" xfId="0" applyFill="1" applyBorder="1" applyProtection="1">
      <protection locked="0"/>
    </xf>
    <xf numFmtId="44" fontId="0" fillId="2" borderId="8" xfId="1" applyFont="1" applyFill="1" applyBorder="1" applyProtection="1">
      <protection locked="0"/>
    </xf>
    <xf numFmtId="44" fontId="2" fillId="11" borderId="25" xfId="1" applyFont="1" applyFill="1" applyBorder="1"/>
    <xf numFmtId="44" fontId="0" fillId="10" borderId="63" xfId="1" applyFont="1" applyFill="1" applyBorder="1"/>
    <xf numFmtId="44" fontId="0" fillId="10" borderId="38" xfId="1" applyNumberFormat="1" applyFont="1" applyFill="1" applyBorder="1"/>
    <xf numFmtId="44" fontId="0" fillId="10" borderId="63" xfId="0" applyNumberFormat="1" applyFill="1" applyBorder="1"/>
    <xf numFmtId="44" fontId="0" fillId="2" borderId="8" xfId="0" applyNumberFormat="1" applyFill="1" applyBorder="1" applyProtection="1">
      <protection locked="0"/>
    </xf>
    <xf numFmtId="0" fontId="42" fillId="10" borderId="0" xfId="0" applyFont="1" applyFill="1" applyBorder="1"/>
    <xf numFmtId="44" fontId="0" fillId="2" borderId="32" xfId="1" applyNumberFormat="1" applyFont="1" applyFill="1" applyBorder="1" applyProtection="1">
      <protection locked="0"/>
    </xf>
    <xf numFmtId="44" fontId="0" fillId="10" borderId="64" xfId="1" applyNumberFormat="1" applyFont="1" applyFill="1" applyBorder="1"/>
    <xf numFmtId="44" fontId="0" fillId="10" borderId="46" xfId="1" applyNumberFormat="1" applyFont="1" applyFill="1" applyBorder="1"/>
    <xf numFmtId="44" fontId="0" fillId="10" borderId="64" xfId="1" applyFont="1" applyFill="1" applyBorder="1"/>
    <xf numFmtId="44" fontId="0" fillId="10" borderId="64" xfId="0" applyNumberFormat="1" applyFill="1" applyBorder="1"/>
    <xf numFmtId="0" fontId="0" fillId="10" borderId="64" xfId="0" applyFill="1" applyBorder="1"/>
    <xf numFmtId="44" fontId="33" fillId="3" borderId="64" xfId="1" applyFont="1" applyFill="1" applyBorder="1" applyAlignment="1">
      <alignment horizontal="center"/>
    </xf>
    <xf numFmtId="0" fontId="0" fillId="3" borderId="64" xfId="0" applyFill="1" applyBorder="1"/>
    <xf numFmtId="0" fontId="3" fillId="0" borderId="0" xfId="3" applyFont="1" applyFill="1" applyBorder="1" applyAlignment="1">
      <alignment horizontal="center"/>
    </xf>
    <xf numFmtId="0" fontId="43" fillId="0" borderId="65" xfId="3" applyFont="1" applyFill="1" applyBorder="1" applyAlignment="1">
      <alignment horizontal="center"/>
    </xf>
    <xf numFmtId="0" fontId="44" fillId="0" borderId="65" xfId="3" applyFont="1" applyFill="1" applyBorder="1"/>
    <xf numFmtId="0" fontId="45" fillId="0" borderId="65" xfId="3" applyFont="1" applyFill="1" applyBorder="1"/>
    <xf numFmtId="0" fontId="46" fillId="7" borderId="65" xfId="3" applyFont="1" applyFill="1" applyBorder="1"/>
    <xf numFmtId="0" fontId="43" fillId="7" borderId="65" xfId="3" applyFont="1" applyFill="1" applyBorder="1" applyAlignment="1">
      <alignment horizontal="right"/>
    </xf>
    <xf numFmtId="0" fontId="43" fillId="0" borderId="65" xfId="3" applyFont="1" applyFill="1" applyBorder="1"/>
    <xf numFmtId="44" fontId="0" fillId="2" borderId="9" xfId="1" applyFont="1" applyFill="1" applyBorder="1" applyAlignment="1" applyProtection="1">
      <alignment horizontal="center"/>
      <protection locked="0"/>
    </xf>
    <xf numFmtId="0" fontId="49" fillId="10" borderId="0" xfId="0" applyFont="1" applyFill="1" applyBorder="1" applyAlignment="1">
      <alignment horizontal="right" vertical="top"/>
    </xf>
    <xf numFmtId="0" fontId="13" fillId="0" borderId="0" xfId="0" applyFont="1" applyFill="1" applyBorder="1"/>
    <xf numFmtId="0" fontId="3" fillId="5" borderId="0" xfId="3" applyFont="1" applyFill="1" applyBorder="1"/>
    <xf numFmtId="0" fontId="11" fillId="5" borderId="0" xfId="3" applyFont="1" applyFill="1" applyBorder="1" applyAlignment="1">
      <alignment horizontal="left"/>
    </xf>
    <xf numFmtId="0" fontId="12" fillId="5" borderId="0" xfId="3" applyFont="1" applyFill="1" applyBorder="1" applyAlignment="1">
      <alignment horizontal="center"/>
    </xf>
    <xf numFmtId="0" fontId="3" fillId="5" borderId="0" xfId="3" applyFont="1" applyFill="1" applyBorder="1" applyAlignment="1">
      <alignment horizontal="right"/>
    </xf>
    <xf numFmtId="0" fontId="13" fillId="5" borderId="0" xfId="3" applyFont="1" applyFill="1" applyBorder="1" applyAlignment="1">
      <alignment horizontal="left"/>
    </xf>
    <xf numFmtId="0" fontId="13" fillId="5" borderId="0" xfId="3" applyFont="1" applyFill="1" applyBorder="1" applyAlignment="1">
      <alignment vertical="center"/>
    </xf>
    <xf numFmtId="0" fontId="3" fillId="5" borderId="0" xfId="3" applyFont="1" applyFill="1" applyBorder="1" applyAlignment="1"/>
    <xf numFmtId="0" fontId="13" fillId="5" borderId="0" xfId="3" applyFont="1" applyFill="1" applyBorder="1" applyAlignment="1"/>
    <xf numFmtId="0" fontId="6" fillId="5" borderId="0" xfId="3" applyFill="1" applyBorder="1"/>
    <xf numFmtId="0" fontId="3" fillId="5" borderId="0" xfId="3" applyFont="1" applyFill="1" applyBorder="1" applyAlignment="1">
      <alignment horizontal="left"/>
    </xf>
    <xf numFmtId="5" fontId="3" fillId="5" borderId="0" xfId="3" applyNumberFormat="1" applyFont="1" applyFill="1" applyBorder="1" applyAlignment="1">
      <alignment horizontal="right"/>
    </xf>
    <xf numFmtId="6" fontId="3" fillId="5" borderId="0" xfId="4" applyNumberFormat="1" applyFont="1" applyFill="1" applyBorder="1" applyAlignment="1">
      <alignment horizontal="right"/>
    </xf>
    <xf numFmtId="5" fontId="3" fillId="5" borderId="0" xfId="3" applyNumberFormat="1" applyFont="1" applyFill="1" applyBorder="1"/>
    <xf numFmtId="5" fontId="3" fillId="5" borderId="0" xfId="3" quotePrefix="1" applyNumberFormat="1" applyFont="1" applyFill="1" applyBorder="1" applyAlignment="1">
      <alignment horizontal="right"/>
    </xf>
    <xf numFmtId="0" fontId="13" fillId="5" borderId="0" xfId="3" applyFont="1" applyFill="1" applyBorder="1" applyAlignment="1">
      <alignment horizontal="center"/>
    </xf>
    <xf numFmtId="0" fontId="13" fillId="5" borderId="0" xfId="3" applyFont="1" applyFill="1" applyBorder="1" applyAlignment="1">
      <alignment horizontal="right"/>
    </xf>
    <xf numFmtId="5" fontId="3" fillId="5" borderId="0" xfId="3" applyNumberFormat="1" applyFont="1" applyFill="1" applyBorder="1" applyAlignment="1">
      <alignment horizontal="center"/>
    </xf>
    <xf numFmtId="9" fontId="3" fillId="5" borderId="0" xfId="3" applyNumberFormat="1" applyFont="1" applyFill="1" applyBorder="1" applyAlignment="1">
      <alignment horizontal="left"/>
    </xf>
    <xf numFmtId="9" fontId="3" fillId="5" borderId="0" xfId="3" applyNumberFormat="1" applyFont="1" applyFill="1" applyBorder="1" applyAlignment="1">
      <alignment horizontal="center"/>
    </xf>
    <xf numFmtId="8" fontId="3" fillId="5" borderId="0" xfId="4" applyFont="1" applyFill="1" applyBorder="1" applyAlignment="1">
      <alignment horizontal="right"/>
    </xf>
    <xf numFmtId="7" fontId="3" fillId="5" borderId="0" xfId="3" applyNumberFormat="1" applyFont="1" applyFill="1" applyBorder="1"/>
    <xf numFmtId="5" fontId="3" fillId="5" borderId="0" xfId="3" applyNumberFormat="1" applyFont="1" applyFill="1" applyBorder="1" applyAlignment="1">
      <alignment horizontal="left"/>
    </xf>
    <xf numFmtId="165" fontId="3" fillId="5" borderId="0" xfId="3" applyNumberFormat="1" applyFont="1" applyFill="1" applyBorder="1" applyAlignment="1">
      <alignment horizontal="center"/>
    </xf>
    <xf numFmtId="0" fontId="13" fillId="5" borderId="0" xfId="3" quotePrefix="1" applyFont="1" applyFill="1" applyBorder="1" applyAlignment="1"/>
    <xf numFmtId="0" fontId="3" fillId="5" borderId="0" xfId="3" applyFont="1" applyFill="1" applyBorder="1" applyAlignment="1">
      <alignment horizontal="center"/>
    </xf>
    <xf numFmtId="0" fontId="3" fillId="5" borderId="0" xfId="3" quotePrefix="1" applyFont="1" applyFill="1" applyBorder="1" applyAlignment="1">
      <alignment horizontal="left"/>
    </xf>
    <xf numFmtId="8" fontId="13" fillId="5" borderId="0" xfId="3" applyNumberFormat="1" applyFont="1" applyFill="1" applyBorder="1" applyAlignment="1">
      <alignment horizontal="center"/>
    </xf>
    <xf numFmtId="173" fontId="3" fillId="5" borderId="0" xfId="3" applyNumberFormat="1" applyFont="1" applyFill="1" applyBorder="1"/>
    <xf numFmtId="5" fontId="3" fillId="5" borderId="0" xfId="3" quotePrefix="1" applyNumberFormat="1" applyFont="1" applyFill="1" applyBorder="1" applyAlignment="1">
      <alignment horizontal="left"/>
    </xf>
    <xf numFmtId="5" fontId="16" fillId="5" borderId="0" xfId="3" quotePrefix="1" applyNumberFormat="1" applyFont="1" applyFill="1" applyBorder="1" applyAlignment="1">
      <alignment horizontal="left"/>
    </xf>
    <xf numFmtId="0" fontId="16" fillId="5" borderId="0" xfId="3" applyFont="1" applyFill="1" applyBorder="1"/>
    <xf numFmtId="5" fontId="16" fillId="5" borderId="0" xfId="3" applyNumberFormat="1" applyFont="1" applyFill="1" applyBorder="1" applyAlignment="1">
      <alignment horizontal="left"/>
    </xf>
    <xf numFmtId="0" fontId="38" fillId="10" borderId="44" xfId="0" applyFont="1" applyFill="1" applyBorder="1"/>
    <xf numFmtId="0" fontId="38" fillId="10" borderId="48" xfId="0" applyFont="1" applyFill="1" applyBorder="1"/>
    <xf numFmtId="0" fontId="36" fillId="13" borderId="34" xfId="10" applyFont="1" applyFill="1" applyBorder="1" applyAlignment="1">
      <alignment horizontal="center"/>
    </xf>
    <xf numFmtId="0" fontId="36" fillId="2" borderId="34" xfId="10" applyFont="1" applyFill="1" applyBorder="1" applyAlignment="1" applyProtection="1">
      <alignment horizontal="center"/>
      <protection locked="0"/>
    </xf>
    <xf numFmtId="0" fontId="21" fillId="0" borderId="0" xfId="3" applyFont="1" applyFill="1" applyBorder="1" applyAlignment="1">
      <alignment horizontal="center"/>
    </xf>
    <xf numFmtId="10" fontId="3" fillId="4" borderId="67" xfId="5" applyNumberFormat="1" applyFont="1" applyFill="1" applyBorder="1" applyAlignment="1">
      <alignment horizontal="right"/>
    </xf>
    <xf numFmtId="10" fontId="3" fillId="10" borderId="67" xfId="5" applyNumberFormat="1" applyFont="1" applyFill="1" applyBorder="1" applyAlignment="1">
      <alignment horizontal="right"/>
    </xf>
    <xf numFmtId="167" fontId="3" fillId="10" borderId="70" xfId="5" quotePrefix="1" applyNumberFormat="1" applyFont="1" applyFill="1" applyBorder="1" applyAlignment="1">
      <alignment horizontal="right"/>
    </xf>
    <xf numFmtId="167" fontId="43" fillId="10" borderId="71" xfId="5" quotePrefix="1" applyNumberFormat="1" applyFont="1" applyFill="1" applyBorder="1" applyAlignment="1">
      <alignment horizontal="right"/>
    </xf>
    <xf numFmtId="167" fontId="3" fillId="10" borderId="72" xfId="5" quotePrefix="1" applyNumberFormat="1" applyFont="1" applyFill="1" applyBorder="1" applyAlignment="1">
      <alignment horizontal="right"/>
    </xf>
    <xf numFmtId="167" fontId="23" fillId="10" borderId="71" xfId="5" quotePrefix="1" applyNumberFormat="1" applyFont="1" applyFill="1" applyBorder="1" applyAlignment="1">
      <alignment horizontal="center" vertical="center" wrapText="1"/>
    </xf>
    <xf numFmtId="167" fontId="43" fillId="9" borderId="72" xfId="5" quotePrefix="1" applyNumberFormat="1" applyFont="1" applyFill="1" applyBorder="1" applyAlignment="1">
      <alignment horizontal="right"/>
    </xf>
    <xf numFmtId="167" fontId="3" fillId="10" borderId="71" xfId="5" quotePrefix="1" applyNumberFormat="1" applyFont="1" applyFill="1" applyBorder="1" applyAlignment="1">
      <alignment horizontal="right"/>
    </xf>
    <xf numFmtId="167" fontId="43" fillId="10" borderId="72" xfId="5" quotePrefix="1" applyNumberFormat="1" applyFont="1" applyFill="1" applyBorder="1" applyAlignment="1">
      <alignment horizontal="right"/>
    </xf>
    <xf numFmtId="167" fontId="43" fillId="10" borderId="70" xfId="5" quotePrefix="1" applyNumberFormat="1" applyFont="1" applyFill="1" applyBorder="1" applyAlignment="1">
      <alignment horizontal="right"/>
    </xf>
    <xf numFmtId="168" fontId="3" fillId="0" borderId="0" xfId="3" applyNumberFormat="1" applyFont="1" applyFill="1" applyBorder="1" applyAlignment="1">
      <alignment horizontal="left"/>
    </xf>
    <xf numFmtId="167" fontId="3" fillId="0" borderId="73" xfId="5" quotePrefix="1" applyNumberFormat="1" applyFont="1" applyFill="1" applyBorder="1" applyAlignment="1">
      <alignment horizontal="right"/>
    </xf>
    <xf numFmtId="167" fontId="3" fillId="0" borderId="74" xfId="5" quotePrefix="1" applyNumberFormat="1" applyFont="1" applyFill="1" applyBorder="1" applyAlignment="1">
      <alignment horizontal="right"/>
    </xf>
    <xf numFmtId="0" fontId="3" fillId="10" borderId="67" xfId="0" applyFont="1" applyFill="1" applyBorder="1" applyAlignment="1">
      <alignment horizontal="center"/>
    </xf>
    <xf numFmtId="0" fontId="4" fillId="10" borderId="67" xfId="0" applyFont="1" applyFill="1" applyBorder="1"/>
    <xf numFmtId="0" fontId="3" fillId="10" borderId="67" xfId="0" applyFont="1" applyFill="1" applyBorder="1"/>
    <xf numFmtId="10" fontId="3" fillId="10" borderId="67" xfId="0" applyNumberFormat="1" applyFont="1" applyFill="1" applyBorder="1" applyAlignment="1">
      <alignment horizontal="right"/>
    </xf>
    <xf numFmtId="0" fontId="13" fillId="10" borderId="67" xfId="0" applyFont="1" applyFill="1" applyBorder="1" applyAlignment="1">
      <alignment horizontal="center"/>
    </xf>
    <xf numFmtId="10" fontId="3" fillId="10" borderId="66" xfId="0" applyNumberFormat="1" applyFont="1" applyFill="1" applyBorder="1" applyAlignment="1">
      <alignment horizontal="right"/>
    </xf>
    <xf numFmtId="0" fontId="3" fillId="0" borderId="66" xfId="0" applyFont="1" applyFill="1" applyBorder="1" applyAlignment="1">
      <alignment horizontal="center"/>
    </xf>
    <xf numFmtId="0" fontId="4" fillId="0" borderId="66" xfId="0" applyFont="1" applyBorder="1"/>
    <xf numFmtId="0" fontId="3" fillId="0" borderId="66" xfId="0" applyFont="1" applyFill="1" applyBorder="1"/>
    <xf numFmtId="0" fontId="13" fillId="0" borderId="66" xfId="0" applyFont="1" applyFill="1" applyBorder="1" applyAlignment="1">
      <alignment horizontal="center"/>
    </xf>
    <xf numFmtId="0" fontId="3" fillId="0" borderId="68" xfId="0" applyFont="1" applyFill="1" applyBorder="1" applyAlignment="1">
      <alignment horizontal="center"/>
    </xf>
    <xf numFmtId="0" fontId="4" fillId="0" borderId="68" xfId="0" applyFont="1" applyBorder="1"/>
    <xf numFmtId="0" fontId="3" fillId="0" borderId="68" xfId="0" applyFont="1" applyFill="1" applyBorder="1"/>
    <xf numFmtId="10" fontId="3" fillId="10" borderId="68" xfId="0" applyNumberFormat="1" applyFont="1" applyFill="1" applyBorder="1" applyAlignment="1">
      <alignment horizontal="right"/>
    </xf>
    <xf numFmtId="0" fontId="13" fillId="0" borderId="68" xfId="0" applyFont="1" applyFill="1" applyBorder="1" applyAlignment="1">
      <alignment horizontal="center"/>
    </xf>
    <xf numFmtId="0" fontId="3" fillId="0" borderId="67" xfId="0" applyFont="1" applyFill="1" applyBorder="1" applyAlignment="1">
      <alignment horizontal="center"/>
    </xf>
    <xf numFmtId="0" fontId="4" fillId="0" borderId="67" xfId="0" applyFont="1" applyBorder="1"/>
    <xf numFmtId="0" fontId="3" fillId="0" borderId="67" xfId="0" applyFont="1" applyFill="1" applyBorder="1"/>
    <xf numFmtId="0" fontId="13" fillId="0" borderId="67" xfId="0" applyFont="1" applyFill="1" applyBorder="1" applyAlignment="1">
      <alignment horizontal="center"/>
    </xf>
    <xf numFmtId="0" fontId="50" fillId="7" borderId="68" xfId="0" applyFont="1" applyFill="1" applyBorder="1"/>
    <xf numFmtId="10" fontId="50" fillId="7" borderId="68" xfId="0" applyNumberFormat="1" applyFont="1" applyFill="1" applyBorder="1" applyAlignment="1">
      <alignment horizontal="right"/>
    </xf>
    <xf numFmtId="0" fontId="3" fillId="10" borderId="69" xfId="0" applyFont="1" applyFill="1" applyBorder="1" applyAlignment="1">
      <alignment horizontal="center"/>
    </xf>
    <xf numFmtId="0" fontId="4" fillId="10" borderId="69" xfId="0" applyFont="1" applyFill="1" applyBorder="1"/>
    <xf numFmtId="0" fontId="3" fillId="10" borderId="69" xfId="0" applyFont="1" applyFill="1" applyBorder="1"/>
    <xf numFmtId="0" fontId="43" fillId="10" borderId="69" xfId="0" applyFont="1" applyFill="1" applyBorder="1"/>
    <xf numFmtId="10" fontId="43" fillId="10" borderId="69" xfId="0" applyNumberFormat="1" applyFont="1" applyFill="1" applyBorder="1" applyAlignment="1">
      <alignment horizontal="right"/>
    </xf>
    <xf numFmtId="0" fontId="13" fillId="10" borderId="69" xfId="0" applyFont="1" applyFill="1" applyBorder="1" applyAlignment="1">
      <alignment horizontal="center"/>
    </xf>
    <xf numFmtId="10" fontId="3" fillId="10" borderId="69" xfId="0" applyNumberFormat="1" applyFont="1" applyFill="1" applyBorder="1" applyAlignment="1">
      <alignment horizontal="right"/>
    </xf>
    <xf numFmtId="0" fontId="3" fillId="4" borderId="67" xfId="0" applyFont="1" applyFill="1" applyBorder="1" applyAlignment="1">
      <alignment horizontal="center"/>
    </xf>
    <xf numFmtId="0" fontId="4" fillId="4" borderId="67" xfId="0" applyFont="1" applyFill="1" applyBorder="1"/>
    <xf numFmtId="0" fontId="3" fillId="4" borderId="67" xfId="0" applyFont="1" applyFill="1" applyBorder="1"/>
    <xf numFmtId="0" fontId="13" fillId="4" borderId="67" xfId="0" applyFont="1" applyFill="1" applyBorder="1" applyAlignment="1">
      <alignment horizontal="center"/>
    </xf>
    <xf numFmtId="10" fontId="3" fillId="4" borderId="67" xfId="0" applyNumberFormat="1" applyFont="1" applyFill="1" applyBorder="1" applyAlignment="1">
      <alignment horizontal="right"/>
    </xf>
    <xf numFmtId="10" fontId="3" fillId="4" borderId="67" xfId="0" applyNumberFormat="1" applyFont="1" applyFill="1" applyBorder="1" applyAlignment="1">
      <alignment horizontal="center"/>
    </xf>
    <xf numFmtId="49" fontId="3" fillId="4" borderId="67" xfId="0" applyNumberFormat="1" applyFont="1" applyFill="1" applyBorder="1" applyAlignment="1">
      <alignment horizontal="center"/>
    </xf>
    <xf numFmtId="49" fontId="3" fillId="4" borderId="67" xfId="0" applyNumberFormat="1" applyFont="1" applyFill="1" applyBorder="1" applyAlignment="1">
      <alignment horizontal="right"/>
    </xf>
    <xf numFmtId="167" fontId="3" fillId="10" borderId="70" xfId="0" applyNumberFormat="1" applyFont="1" applyFill="1" applyBorder="1" applyAlignment="1">
      <alignment horizontal="right"/>
    </xf>
    <xf numFmtId="0" fontId="4" fillId="10" borderId="70" xfId="0" applyFont="1" applyFill="1" applyBorder="1" applyAlignment="1">
      <alignment horizontal="right"/>
    </xf>
    <xf numFmtId="0" fontId="3" fillId="10" borderId="70" xfId="0" applyFont="1" applyFill="1" applyBorder="1"/>
    <xf numFmtId="0" fontId="3" fillId="10" borderId="70" xfId="0" applyFont="1" applyFill="1" applyBorder="1" applyAlignment="1">
      <alignment horizontal="center"/>
    </xf>
    <xf numFmtId="0" fontId="3" fillId="10" borderId="70" xfId="0" applyFont="1" applyFill="1" applyBorder="1" applyAlignment="1">
      <alignment horizontal="right"/>
    </xf>
    <xf numFmtId="0" fontId="4" fillId="10" borderId="72" xfId="0" applyFont="1" applyFill="1" applyBorder="1" applyAlignment="1">
      <alignment horizontal="right"/>
    </xf>
    <xf numFmtId="0" fontId="3" fillId="10" borderId="72" xfId="0" applyFont="1" applyFill="1" applyBorder="1" applyAlignment="1">
      <alignment horizontal="left"/>
    </xf>
    <xf numFmtId="0" fontId="3" fillId="10" borderId="72" xfId="0" applyFont="1" applyFill="1" applyBorder="1" applyAlignment="1">
      <alignment horizontal="center"/>
    </xf>
    <xf numFmtId="0" fontId="3" fillId="10" borderId="72" xfId="0" applyFont="1" applyFill="1" applyBorder="1" applyAlignment="1">
      <alignment horizontal="right"/>
    </xf>
    <xf numFmtId="0" fontId="3" fillId="0" borderId="0" xfId="0" applyFont="1" applyBorder="1"/>
    <xf numFmtId="0" fontId="51" fillId="0" borderId="0" xfId="0" applyFont="1" applyBorder="1"/>
    <xf numFmtId="0" fontId="3" fillId="0" borderId="74" xfId="0" applyFont="1" applyBorder="1"/>
    <xf numFmtId="0" fontId="3" fillId="0" borderId="74" xfId="0" applyFont="1" applyFill="1" applyBorder="1" applyAlignment="1">
      <alignment horizontal="center"/>
    </xf>
    <xf numFmtId="0" fontId="4" fillId="0" borderId="74" xfId="0" applyFont="1" applyFill="1" applyBorder="1"/>
    <xf numFmtId="0" fontId="3" fillId="0" borderId="74" xfId="0" applyFont="1" applyFill="1" applyBorder="1"/>
    <xf numFmtId="0" fontId="3" fillId="0" borderId="74" xfId="0" applyFont="1" applyFill="1" applyBorder="1" applyAlignment="1">
      <alignment horizontal="right"/>
    </xf>
    <xf numFmtId="0" fontId="51" fillId="0" borderId="0" xfId="0" applyFont="1" applyBorder="1" applyAlignment="1">
      <alignment horizontal="right"/>
    </xf>
    <xf numFmtId="0" fontId="3" fillId="0" borderId="73" xfId="0" applyFont="1" applyBorder="1"/>
    <xf numFmtId="10" fontId="3" fillId="0" borderId="73" xfId="0" applyNumberFormat="1" applyFont="1" applyFill="1" applyBorder="1" applyAlignment="1">
      <alignment horizontal="right"/>
    </xf>
    <xf numFmtId="0" fontId="3" fillId="0" borderId="73" xfId="0" applyFont="1" applyFill="1" applyBorder="1" applyAlignment="1">
      <alignment horizontal="left"/>
    </xf>
    <xf numFmtId="0" fontId="4" fillId="0" borderId="73" xfId="0" applyFont="1" applyFill="1" applyBorder="1"/>
    <xf numFmtId="0" fontId="3" fillId="0" borderId="73" xfId="0" applyFont="1" applyBorder="1" applyAlignment="1">
      <alignment horizontal="right"/>
    </xf>
    <xf numFmtId="0" fontId="3" fillId="0" borderId="73" xfId="0" applyFont="1" applyFill="1" applyBorder="1" applyAlignment="1">
      <alignment horizontal="center"/>
    </xf>
    <xf numFmtId="0" fontId="3" fillId="0" borderId="0" xfId="0" applyFont="1" applyFill="1" applyBorder="1" applyAlignment="1">
      <alignment horizontal="right"/>
    </xf>
    <xf numFmtId="0" fontId="10" fillId="0" borderId="0" xfId="3" applyFont="1" applyFill="1" applyBorder="1" applyAlignment="1">
      <alignment horizontal="left"/>
    </xf>
    <xf numFmtId="168" fontId="3" fillId="0" borderId="0" xfId="0" applyNumberFormat="1" applyFont="1" applyFill="1" applyBorder="1" applyAlignment="1">
      <alignment horizontal="left"/>
    </xf>
    <xf numFmtId="10" fontId="0" fillId="10" borderId="2" xfId="2" applyNumberFormat="1" applyFont="1" applyFill="1" applyBorder="1" applyAlignment="1">
      <alignment horizontal="right"/>
    </xf>
    <xf numFmtId="10" fontId="0" fillId="10" borderId="2" xfId="2" applyNumberFormat="1" applyFont="1" applyFill="1" applyBorder="1"/>
    <xf numFmtId="0" fontId="0" fillId="2" borderId="15"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39" fillId="12" borderId="13" xfId="0" applyFont="1" applyFill="1" applyBorder="1" applyAlignment="1">
      <alignment horizontal="center" wrapText="1"/>
    </xf>
    <xf numFmtId="0" fontId="39" fillId="12" borderId="14" xfId="0" applyFont="1" applyFill="1" applyBorder="1" applyAlignment="1">
      <alignment horizontal="center" wrapText="1"/>
    </xf>
    <xf numFmtId="0" fontId="39" fillId="12" borderId="39" xfId="0" applyFont="1" applyFill="1" applyBorder="1" applyAlignment="1">
      <alignment horizontal="center" wrapText="1"/>
    </xf>
    <xf numFmtId="0" fontId="32" fillId="2" borderId="2" xfId="0" applyFont="1" applyFill="1" applyBorder="1" applyAlignment="1" applyProtection="1">
      <alignment horizontal="center"/>
      <protection locked="0"/>
    </xf>
    <xf numFmtId="0" fontId="25" fillId="10" borderId="24" xfId="0" applyFont="1" applyFill="1" applyBorder="1" applyAlignment="1">
      <alignment horizontal="center" wrapText="1"/>
    </xf>
    <xf numFmtId="10" fontId="0" fillId="2" borderId="15" xfId="0" applyNumberFormat="1" applyFill="1" applyBorder="1" applyAlignment="1" applyProtection="1">
      <alignment horizontal="left"/>
      <protection locked="0"/>
    </xf>
    <xf numFmtId="10" fontId="0" fillId="2" borderId="24" xfId="0" applyNumberFormat="1" applyFill="1" applyBorder="1" applyAlignment="1" applyProtection="1">
      <alignment horizontal="left"/>
      <protection locked="0"/>
    </xf>
    <xf numFmtId="10" fontId="0" fillId="2" borderId="11" xfId="0" applyNumberFormat="1" applyFill="1" applyBorder="1" applyAlignment="1" applyProtection="1">
      <alignment horizontal="left"/>
      <protection locked="0"/>
    </xf>
    <xf numFmtId="0" fontId="26" fillId="10" borderId="0" xfId="0" applyFont="1" applyFill="1" applyBorder="1" applyAlignment="1">
      <alignment horizontal="left" vertical="top" wrapText="1"/>
    </xf>
    <xf numFmtId="0" fontId="26" fillId="10" borderId="21" xfId="0" applyFont="1" applyFill="1" applyBorder="1" applyAlignment="1">
      <alignment horizontal="left" vertical="top" wrapText="1"/>
    </xf>
    <xf numFmtId="0" fontId="30" fillId="12" borderId="18" xfId="0" applyFont="1" applyFill="1" applyBorder="1" applyAlignment="1">
      <alignment horizontal="center" wrapText="1"/>
    </xf>
    <xf numFmtId="0" fontId="30" fillId="12" borderId="0" xfId="0" applyFont="1" applyFill="1" applyBorder="1" applyAlignment="1">
      <alignment horizontal="center" wrapText="1"/>
    </xf>
    <xf numFmtId="0" fontId="30" fillId="12" borderId="3" xfId="0" applyFont="1" applyFill="1" applyBorder="1" applyAlignment="1">
      <alignment horizontal="center" wrapText="1"/>
    </xf>
    <xf numFmtId="0" fontId="26" fillId="12" borderId="18" xfId="0" applyFont="1" applyFill="1" applyBorder="1" applyAlignment="1">
      <alignment horizontal="center" wrapText="1"/>
    </xf>
    <xf numFmtId="0" fontId="26" fillId="12" borderId="0" xfId="0" applyFont="1" applyFill="1" applyBorder="1" applyAlignment="1">
      <alignment horizontal="center" wrapText="1"/>
    </xf>
    <xf numFmtId="0" fontId="26" fillId="12" borderId="3" xfId="0" applyFont="1" applyFill="1" applyBorder="1" applyAlignment="1">
      <alignment horizontal="center" wrapText="1"/>
    </xf>
    <xf numFmtId="0" fontId="26" fillId="12" borderId="19" xfId="0" applyFont="1" applyFill="1" applyBorder="1" applyAlignment="1">
      <alignment horizontal="center" wrapText="1"/>
    </xf>
    <xf numFmtId="0" fontId="26" fillId="12" borderId="21" xfId="0" applyFont="1" applyFill="1" applyBorder="1" applyAlignment="1">
      <alignment horizontal="center" wrapText="1"/>
    </xf>
    <xf numFmtId="0" fontId="26" fillId="12" borderId="23" xfId="0" applyFont="1" applyFill="1" applyBorder="1" applyAlignment="1">
      <alignment horizontal="center" wrapText="1"/>
    </xf>
    <xf numFmtId="0" fontId="26" fillId="12" borderId="17" xfId="0" applyFont="1" applyFill="1" applyBorder="1" applyAlignment="1">
      <alignment horizontal="center" vertical="center" wrapText="1"/>
    </xf>
    <xf numFmtId="0" fontId="26" fillId="12" borderId="20" xfId="0" applyFont="1" applyFill="1" applyBorder="1" applyAlignment="1">
      <alignment horizontal="center" vertical="center" wrapText="1"/>
    </xf>
    <xf numFmtId="0" fontId="26" fillId="12" borderId="22" xfId="0" applyFont="1" applyFill="1" applyBorder="1" applyAlignment="1">
      <alignment horizontal="center" vertical="center" wrapText="1"/>
    </xf>
    <xf numFmtId="0" fontId="26" fillId="12" borderId="18" xfId="0" applyFont="1" applyFill="1" applyBorder="1" applyAlignment="1">
      <alignment horizontal="center" vertical="center" wrapText="1"/>
    </xf>
    <xf numFmtId="0" fontId="26" fillId="12" borderId="0" xfId="0"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1" fillId="0" borderId="0" xfId="3" applyFont="1" applyFill="1" applyBorder="1" applyAlignment="1">
      <alignment horizontal="center"/>
    </xf>
    <xf numFmtId="0" fontId="3" fillId="5" borderId="0" xfId="3" applyFont="1" applyFill="1" applyBorder="1" applyAlignment="1">
      <alignment horizontal="center" wrapText="1"/>
    </xf>
    <xf numFmtId="0" fontId="19" fillId="0" borderId="0" xfId="3" applyFont="1" applyFill="1" applyBorder="1" applyAlignment="1">
      <alignment horizontal="center" wrapText="1"/>
    </xf>
    <xf numFmtId="0" fontId="19" fillId="0" borderId="6" xfId="3" applyFont="1" applyFill="1" applyBorder="1" applyAlignment="1">
      <alignment horizontal="center" wrapText="1"/>
    </xf>
    <xf numFmtId="0" fontId="9" fillId="0" borderId="0" xfId="3" applyFont="1" applyFill="1" applyBorder="1" applyAlignment="1">
      <alignment horizontal="center" wrapText="1"/>
    </xf>
    <xf numFmtId="0" fontId="9" fillId="0" borderId="6" xfId="3" applyFont="1" applyFill="1" applyBorder="1" applyAlignment="1">
      <alignment horizontal="center" wrapText="1"/>
    </xf>
    <xf numFmtId="0" fontId="13" fillId="0" borderId="6" xfId="3" applyFont="1" applyBorder="1" applyAlignment="1">
      <alignment horizontal="center"/>
    </xf>
    <xf numFmtId="166" fontId="8" fillId="0" borderId="0" xfId="3" quotePrefix="1" applyNumberFormat="1" applyFont="1" applyFill="1" applyBorder="1" applyAlignment="1">
      <alignment horizontal="center"/>
    </xf>
    <xf numFmtId="0" fontId="3" fillId="0" borderId="0" xfId="3" applyFont="1" applyFill="1" applyBorder="1" applyAlignment="1">
      <alignment horizontal="center"/>
    </xf>
  </cellXfs>
  <cellStyles count="11">
    <cellStyle name="Comma" xfId="7" builtinId="3"/>
    <cellStyle name="Currency" xfId="1" builtinId="4"/>
    <cellStyle name="Currency 2" xfId="4"/>
    <cellStyle name="Currency 3" xfId="9"/>
    <cellStyle name="Hyperlink" xfId="6" builtinId="8"/>
    <cellStyle name="Normal" xfId="0" builtinId="0"/>
    <cellStyle name="Normal 2" xfId="3"/>
    <cellStyle name="Normal 3" xfId="8"/>
    <cellStyle name="Normal_Sheet2" xfId="10"/>
    <cellStyle name="Percent" xfId="2" builtinId="5"/>
    <cellStyle name="Percent 2" xfId="5"/>
  </cellStyles>
  <dxfs count="4">
    <dxf>
      <font>
        <color theme="0"/>
      </font>
      <fill>
        <patternFill>
          <bgColor rgb="FFFF0000"/>
        </patternFill>
      </fill>
    </dxf>
    <dxf>
      <font>
        <color theme="0"/>
      </font>
      <fill>
        <patternFill>
          <bgColor rgb="FFFF0000"/>
        </patternFill>
      </fill>
    </dxf>
    <dxf>
      <fill>
        <patternFill>
          <bgColor theme="1"/>
        </patternFill>
      </fill>
    </dxf>
    <dxf>
      <font>
        <color auto="1"/>
      </font>
      <fill>
        <patternFill>
          <bgColor theme="1"/>
        </patternFill>
      </fill>
    </dxf>
  </dxfs>
  <tableStyles count="0" defaultTableStyle="TableStyleMedium2" defaultPivotStyle="PivotStyleLight16"/>
  <colors>
    <mruColors>
      <color rgb="FFCCFFCC"/>
      <color rgb="FFFFFF99"/>
      <color rgb="FFB3AAA9"/>
      <color rgb="FFFFFF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
      <c:hPercent val="56"/>
      <c:rotY val="6"/>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746857893187961"/>
          <c:y val="9.2503849567333957E-2"/>
          <c:w val="0.87839960150217511"/>
          <c:h val="0.8330583497621058"/>
        </c:manualLayout>
      </c:layout>
      <c:bar3DChart>
        <c:barDir val="col"/>
        <c:grouping val="stacked"/>
        <c:varyColors val="0"/>
        <c:ser>
          <c:idx val="0"/>
          <c:order val="0"/>
          <c:tx>
            <c:strRef>
              <c:f>CHART!$A$9</c:f>
              <c:strCache>
                <c:ptCount val="1"/>
                <c:pt idx="0">
                  <c:v>Hidden</c:v>
                </c:pt>
              </c:strCache>
            </c:strRef>
          </c:tx>
          <c:spPr>
            <a:noFill/>
            <a:ln w="25400">
              <a:noFill/>
            </a:ln>
          </c:spPr>
          <c:invertIfNegative val="0"/>
          <c:cat>
            <c:strRef>
              <c:f>CHART!$B$8:$F$8</c:f>
              <c:strCache>
                <c:ptCount val="5"/>
                <c:pt idx="0">
                  <c:v>Gross Pay          $0.00</c:v>
                </c:pt>
                <c:pt idx="1">
                  <c:v>PreTax Deductions</c:v>
                </c:pt>
                <c:pt idx="2">
                  <c:v>Taxes</c:v>
                </c:pt>
                <c:pt idx="3">
                  <c:v>PostTax Deductions</c:v>
                </c:pt>
                <c:pt idx="4">
                  <c:v>Net Pay $0.00</c:v>
                </c:pt>
              </c:strCache>
            </c:strRef>
          </c:cat>
          <c:val>
            <c:numRef>
              <c:f>CHART!$B$9:$F$9</c:f>
              <c:numCache>
                <c:formatCode>_(* #,##0.00_);_(* \(#,##0.00\);_(* "-"??_);_(@_)</c:formatCode>
                <c:ptCount val="5"/>
                <c:pt idx="1">
                  <c:v>0</c:v>
                </c:pt>
                <c:pt idx="2">
                  <c:v>0</c:v>
                </c:pt>
                <c:pt idx="3">
                  <c:v>0</c:v>
                </c:pt>
              </c:numCache>
            </c:numRef>
          </c:val>
        </c:ser>
        <c:ser>
          <c:idx val="2"/>
          <c:order val="1"/>
          <c:tx>
            <c:strRef>
              <c:f>CHART!$A$10</c:f>
              <c:strCache>
                <c:ptCount val="1"/>
                <c:pt idx="0">
                  <c:v>Reimbursement</c:v>
                </c:pt>
              </c:strCache>
            </c:strRef>
          </c:tx>
          <c:spPr>
            <a:solidFill>
              <a:schemeClr val="accent3">
                <a:lumMod val="60000"/>
                <a:lumOff val="40000"/>
              </a:schemeClr>
            </a:solidFill>
          </c:spPr>
          <c:invertIfNegative val="0"/>
          <c:dPt>
            <c:idx val="4"/>
            <c:invertIfNegative val="0"/>
            <c:bubble3D val="0"/>
            <c:spPr>
              <a:solidFill>
                <a:schemeClr val="accent3">
                  <a:lumMod val="60000"/>
                  <a:lumOff val="40000"/>
                </a:schemeClr>
              </a:solidFill>
              <a:ln w="12700">
                <a:solidFill>
                  <a:srgbClr val="000000"/>
                </a:solidFill>
              </a:ln>
            </c:spPr>
          </c:dPt>
          <c:dLbls>
            <c:spPr>
              <a:noFill/>
              <a:ln>
                <a:noFill/>
              </a:ln>
              <a:effectLst/>
            </c:spPr>
            <c:txPr>
              <a:bodyPr/>
              <a:lstStyle/>
              <a:p>
                <a:pPr algn="ctr">
                  <a:defRPr lang="en-US" sz="14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CHART!$B$8:$F$8</c:f>
              <c:strCache>
                <c:ptCount val="5"/>
                <c:pt idx="0">
                  <c:v>Gross Pay          $0.00</c:v>
                </c:pt>
                <c:pt idx="1">
                  <c:v>PreTax Deductions</c:v>
                </c:pt>
                <c:pt idx="2">
                  <c:v>Taxes</c:v>
                </c:pt>
                <c:pt idx="3">
                  <c:v>PostTax Deductions</c:v>
                </c:pt>
                <c:pt idx="4">
                  <c:v>Net Pay $0.00</c:v>
                </c:pt>
              </c:strCache>
            </c:strRef>
          </c:cat>
          <c:val>
            <c:numRef>
              <c:f>CHART!$B$10:$F$10</c:f>
              <c:numCache>
                <c:formatCode>_(* #,##0.00_);_(* \(#,##0.00\);_(* "-"??_);_(@_)</c:formatCode>
                <c:ptCount val="5"/>
                <c:pt idx="0">
                  <c:v>0</c:v>
                </c:pt>
                <c:pt idx="4">
                  <c:v>0</c:v>
                </c:pt>
              </c:numCache>
            </c:numRef>
          </c:val>
        </c:ser>
        <c:ser>
          <c:idx val="1"/>
          <c:order val="2"/>
          <c:tx>
            <c:strRef>
              <c:f>CHART!$A$11</c:f>
              <c:strCache>
                <c:ptCount val="1"/>
                <c:pt idx="0">
                  <c:v>Earnings</c:v>
                </c:pt>
              </c:strCache>
            </c:strRef>
          </c:tx>
          <c:spPr>
            <a:solidFill>
              <a:schemeClr val="accent5">
                <a:lumMod val="60000"/>
                <a:lumOff val="40000"/>
              </a:schemeClr>
            </a:solidFill>
            <a:ln w="12700">
              <a:solidFill>
                <a:srgbClr val="000000"/>
              </a:solidFill>
              <a:prstDash val="solid"/>
            </a:ln>
            <a:effectLst>
              <a:outerShdw blurRad="127000" dist="50800" dir="15960000" algn="ctr" rotWithShape="0">
                <a:srgbClr val="000000">
                  <a:alpha val="43137"/>
                </a:srgbClr>
              </a:outerShdw>
            </a:effectLst>
          </c:spPr>
          <c:invertIfNegative val="0"/>
          <c:dLbls>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CHART!$B$8:$F$8</c:f>
              <c:strCache>
                <c:ptCount val="5"/>
                <c:pt idx="0">
                  <c:v>Gross Pay          $0.00</c:v>
                </c:pt>
                <c:pt idx="1">
                  <c:v>PreTax Deductions</c:v>
                </c:pt>
                <c:pt idx="2">
                  <c:v>Taxes</c:v>
                </c:pt>
                <c:pt idx="3">
                  <c:v>PostTax Deductions</c:v>
                </c:pt>
                <c:pt idx="4">
                  <c:v>Net Pay $0.00</c:v>
                </c:pt>
              </c:strCache>
            </c:strRef>
          </c:cat>
          <c:val>
            <c:numRef>
              <c:f>CHART!$B$11:$F$11</c:f>
              <c:numCache>
                <c:formatCode>_(* #,##0.00_);_(* \(#,##0.00\);_(*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0"/>
        <c:shape val="box"/>
        <c:axId val="49432832"/>
        <c:axId val="49463296"/>
        <c:axId val="0"/>
      </c:bar3DChart>
      <c:catAx>
        <c:axId val="49432832"/>
        <c:scaling>
          <c:orientation val="minMax"/>
        </c:scaling>
        <c:delete val="0"/>
        <c:axPos val="b"/>
        <c:numFmt formatCode="General" sourceLinked="1"/>
        <c:majorTickMark val="out"/>
        <c:minorTickMark val="none"/>
        <c:tickLblPos val="high"/>
        <c:spPr>
          <a:ln w="3175">
            <a:solidFill>
              <a:srgbClr val="000000"/>
            </a:solidFill>
            <a:prstDash val="solid"/>
          </a:ln>
        </c:spPr>
        <c:txPr>
          <a:bodyPr rot="0" vert="horz" anchor="b" anchorCtr="1"/>
          <a:lstStyle/>
          <a:p>
            <a:pPr>
              <a:defRPr sz="1600" b="0" i="0" u="none" strike="noStrike" baseline="0">
                <a:solidFill>
                  <a:srgbClr val="000000"/>
                </a:solidFill>
                <a:latin typeface="Arial"/>
                <a:ea typeface="Arial"/>
                <a:cs typeface="Arial"/>
              </a:defRPr>
            </a:pPr>
            <a:endParaRPr lang="en-US"/>
          </a:p>
        </c:txPr>
        <c:crossAx val="49463296"/>
        <c:crosses val="autoZero"/>
        <c:auto val="1"/>
        <c:lblAlgn val="ctr"/>
        <c:lblOffset val="100"/>
        <c:tickLblSkip val="1"/>
        <c:tickMarkSkip val="1"/>
        <c:noMultiLvlLbl val="0"/>
      </c:catAx>
      <c:valAx>
        <c:axId val="4946329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49432832"/>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66674</xdr:colOff>
      <xdr:row>1</xdr:row>
      <xdr:rowOff>139700</xdr:rowOff>
    </xdr:from>
    <xdr:to>
      <xdr:col>6</xdr:col>
      <xdr:colOff>50800</xdr:colOff>
      <xdr:row>30</xdr:row>
      <xdr:rowOff>63499</xdr:rowOff>
    </xdr:to>
    <xdr:graphicFrame macro="">
      <xdr:nvGraphicFramePr>
        <xdr:cNvPr id="2"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18</xdr:col>
      <xdr:colOff>66675</xdr:colOff>
      <xdr:row>2</xdr:row>
      <xdr:rowOff>9525</xdr:rowOff>
    </xdr:to>
    <xdr:sp macro="" textlink="">
      <xdr:nvSpPr>
        <xdr:cNvPr id="2" name="Text Box 30"/>
        <xdr:cNvSpPr txBox="1">
          <a:spLocks noChangeArrowheads="1"/>
        </xdr:cNvSpPr>
      </xdr:nvSpPr>
      <xdr:spPr bwMode="auto">
        <a:xfrm>
          <a:off x="10144125" y="257175"/>
          <a:ext cx="666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xdr:row>
      <xdr:rowOff>0</xdr:rowOff>
    </xdr:from>
    <xdr:to>
      <xdr:col>12</xdr:col>
      <xdr:colOff>0</xdr:colOff>
      <xdr:row>36</xdr:row>
      <xdr:rowOff>0</xdr:rowOff>
    </xdr:to>
    <xdr:sp macro="" textlink="">
      <xdr:nvSpPr>
        <xdr:cNvPr id="3" name="Rectangle 51"/>
        <xdr:cNvSpPr>
          <a:spLocks noChangeArrowheads="1"/>
        </xdr:cNvSpPr>
      </xdr:nvSpPr>
      <xdr:spPr bwMode="auto">
        <a:xfrm>
          <a:off x="85725" y="571500"/>
          <a:ext cx="6076950" cy="5334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37</xdr:row>
      <xdr:rowOff>0</xdr:rowOff>
    </xdr:from>
    <xdr:to>
      <xdr:col>12</xdr:col>
      <xdr:colOff>0</xdr:colOff>
      <xdr:row>50</xdr:row>
      <xdr:rowOff>0</xdr:rowOff>
    </xdr:to>
    <xdr:sp macro="" textlink="">
      <xdr:nvSpPr>
        <xdr:cNvPr id="4" name="Rectangle 58"/>
        <xdr:cNvSpPr>
          <a:spLocks noChangeArrowheads="1"/>
        </xdr:cNvSpPr>
      </xdr:nvSpPr>
      <xdr:spPr bwMode="auto">
        <a:xfrm>
          <a:off x="85725" y="6076950"/>
          <a:ext cx="6076950" cy="22383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51</xdr:row>
      <xdr:rowOff>0</xdr:rowOff>
    </xdr:from>
    <xdr:to>
      <xdr:col>12</xdr:col>
      <xdr:colOff>0</xdr:colOff>
      <xdr:row>61</xdr:row>
      <xdr:rowOff>0</xdr:rowOff>
    </xdr:to>
    <xdr:sp macro="" textlink="">
      <xdr:nvSpPr>
        <xdr:cNvPr id="5" name="Rectangle 59"/>
        <xdr:cNvSpPr>
          <a:spLocks noChangeArrowheads="1"/>
        </xdr:cNvSpPr>
      </xdr:nvSpPr>
      <xdr:spPr bwMode="auto">
        <a:xfrm>
          <a:off x="85725" y="8477250"/>
          <a:ext cx="6076950" cy="1714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12</xdr:col>
      <xdr:colOff>200025</xdr:colOff>
      <xdr:row>48</xdr:row>
      <xdr:rowOff>9525</xdr:rowOff>
    </xdr:from>
    <xdr:to>
      <xdr:col>22</xdr:col>
      <xdr:colOff>161925</xdr:colOff>
      <xdr:row>74</xdr:row>
      <xdr:rowOff>9525</xdr:rowOff>
    </xdr:to>
    <xdr:sp macro="" textlink="">
      <xdr:nvSpPr>
        <xdr:cNvPr id="6" name="Rectangle 60"/>
        <xdr:cNvSpPr>
          <a:spLocks noChangeArrowheads="1"/>
        </xdr:cNvSpPr>
      </xdr:nvSpPr>
      <xdr:spPr bwMode="auto">
        <a:xfrm>
          <a:off x="6362700" y="7905750"/>
          <a:ext cx="5819775" cy="4391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13</xdr:col>
      <xdr:colOff>0</xdr:colOff>
      <xdr:row>2</xdr:row>
      <xdr:rowOff>142875</xdr:rowOff>
    </xdr:from>
    <xdr:to>
      <xdr:col>23</xdr:col>
      <xdr:colOff>0</xdr:colOff>
      <xdr:row>47</xdr:row>
      <xdr:rowOff>9525</xdr:rowOff>
    </xdr:to>
    <xdr:sp macro="" textlink="">
      <xdr:nvSpPr>
        <xdr:cNvPr id="7" name="Rectangle 61"/>
        <xdr:cNvSpPr>
          <a:spLocks noChangeArrowheads="1"/>
        </xdr:cNvSpPr>
      </xdr:nvSpPr>
      <xdr:spPr bwMode="auto">
        <a:xfrm>
          <a:off x="6381750" y="561975"/>
          <a:ext cx="5819775" cy="71818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19050</xdr:colOff>
      <xdr:row>61</xdr:row>
      <xdr:rowOff>133350</xdr:rowOff>
    </xdr:from>
    <xdr:to>
      <xdr:col>12</xdr:col>
      <xdr:colOff>0</xdr:colOff>
      <xdr:row>68</xdr:row>
      <xdr:rowOff>85725</xdr:rowOff>
    </xdr:to>
    <xdr:sp macro="" textlink="">
      <xdr:nvSpPr>
        <xdr:cNvPr id="8" name="Rectangle 115"/>
        <xdr:cNvSpPr>
          <a:spLocks noChangeArrowheads="1"/>
        </xdr:cNvSpPr>
      </xdr:nvSpPr>
      <xdr:spPr bwMode="auto">
        <a:xfrm>
          <a:off x="104775" y="10325100"/>
          <a:ext cx="6057900" cy="1104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3</xdr:row>
      <xdr:rowOff>0</xdr:rowOff>
    </xdr:from>
    <xdr:to>
      <xdr:col>12</xdr:col>
      <xdr:colOff>0</xdr:colOff>
      <xdr:row>36</xdr:row>
      <xdr:rowOff>0</xdr:rowOff>
    </xdr:to>
    <xdr:sp macro="" textlink="">
      <xdr:nvSpPr>
        <xdr:cNvPr id="9" name="Rectangle 51"/>
        <xdr:cNvSpPr>
          <a:spLocks noChangeArrowheads="1"/>
        </xdr:cNvSpPr>
      </xdr:nvSpPr>
      <xdr:spPr bwMode="auto">
        <a:xfrm>
          <a:off x="85725" y="152400"/>
          <a:ext cx="6076950" cy="5172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ssa.gov/oact/ProgData/taxRates.html" TargetMode="External"/><Relationship Id="rId13" Type="http://schemas.openxmlformats.org/officeDocument/2006/relationships/printerSettings" Target="../printerSettings/printerSettings6.bin"/><Relationship Id="rId3" Type="http://schemas.openxmlformats.org/officeDocument/2006/relationships/hyperlink" Target="http://www.ssa.gov/oact/ProgData/oasdiRates.html" TargetMode="External"/><Relationship Id="rId7" Type="http://schemas.openxmlformats.org/officeDocument/2006/relationships/hyperlink" Target="http://www.ssa.gov/oact/ProgData/taxRates.html" TargetMode="External"/><Relationship Id="rId12" Type="http://schemas.openxmlformats.org/officeDocument/2006/relationships/hyperlink" Target="http://www.ica.state.az.us/Labor/Labor_MinWag_main.aspx" TargetMode="External"/><Relationship Id="rId2" Type="http://schemas.openxmlformats.org/officeDocument/2006/relationships/hyperlink" Target="http://www.ssa.gov/oact/ProgData/oasdiRates.html" TargetMode="External"/><Relationship Id="rId16" Type="http://schemas.openxmlformats.org/officeDocument/2006/relationships/comments" Target="../comments4.xml"/><Relationship Id="rId1" Type="http://schemas.openxmlformats.org/officeDocument/2006/relationships/hyperlink" Target="http://www.dol.gov/dol/topic/wages/minimumwage.htm" TargetMode="External"/><Relationship Id="rId6" Type="http://schemas.openxmlformats.org/officeDocument/2006/relationships/hyperlink" Target="http://www.azdor.gov/Business/WithholdingTax.aspx" TargetMode="External"/><Relationship Id="rId11" Type="http://schemas.openxmlformats.org/officeDocument/2006/relationships/hyperlink" Target="http://www.ssa.gov/oact/COLA/cbbdet.html" TargetMode="External"/><Relationship Id="rId5" Type="http://schemas.openxmlformats.org/officeDocument/2006/relationships/hyperlink" Target="http://www.ssa.gov/oact/ProgData/taxRates.html" TargetMode="External"/><Relationship Id="rId15" Type="http://schemas.openxmlformats.org/officeDocument/2006/relationships/vmlDrawing" Target="../drawings/vmlDrawing4.vml"/><Relationship Id="rId10" Type="http://schemas.openxmlformats.org/officeDocument/2006/relationships/hyperlink" Target="http://www.irs.gov/app/picklist/list/publicationsNoticesPdf.html?value=15&amp;criteria=formNumber&amp;submitSearch=Find" TargetMode="External"/><Relationship Id="rId4" Type="http://schemas.openxmlformats.org/officeDocument/2006/relationships/hyperlink" Target="http://www.ssa.gov/oact/ProgData/taxRates.html" TargetMode="External"/><Relationship Id="rId9" Type="http://schemas.openxmlformats.org/officeDocument/2006/relationships/hyperlink" Target="http://www.ssa.gov/oact/ProgData/taxRates.html" TargetMode="External"/><Relationship Id="rId1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pageSetUpPr fitToPage="1"/>
  </sheetPr>
  <dimension ref="A1:AD98"/>
  <sheetViews>
    <sheetView tabSelected="1" zoomScale="85" zoomScaleNormal="85" workbookViewId="0">
      <pane ySplit="7" topLeftCell="A8" activePane="bottomLeft" state="frozen"/>
      <selection pane="bottomLeft" activeCell="E6" sqref="E6:F6"/>
    </sheetView>
  </sheetViews>
  <sheetFormatPr defaultRowHeight="15" outlineLevelRow="1" outlineLevelCol="1" x14ac:dyDescent="0.25"/>
  <cols>
    <col min="1" max="1" width="1.7109375" customWidth="1"/>
    <col min="2" max="2" width="1.28515625" customWidth="1"/>
    <col min="3" max="3" width="4.28515625" customWidth="1"/>
    <col min="4" max="4" width="4.7109375" customWidth="1"/>
    <col min="5" max="5" width="12.7109375" customWidth="1"/>
    <col min="6" max="6" width="6.5703125" customWidth="1"/>
    <col min="7" max="7" width="8.85546875" customWidth="1"/>
    <col min="8" max="8" width="12.7109375" customWidth="1"/>
    <col min="9" max="9" width="11.28515625" customWidth="1"/>
    <col min="10" max="10" width="9.5703125" hidden="1" customWidth="1" outlineLevel="1"/>
    <col min="11" max="11" width="12.28515625" customWidth="1" collapsed="1"/>
    <col min="12" max="12" width="6.7109375" hidden="1" customWidth="1" outlineLevel="1"/>
    <col min="13" max="13" width="9.42578125" hidden="1" customWidth="1" outlineLevel="1"/>
    <col min="14" max="14" width="10" customWidth="1" collapsed="1"/>
    <col min="15" max="15" width="12.42578125" hidden="1" customWidth="1" outlineLevel="1"/>
    <col min="16" max="16" width="11.140625" hidden="1" customWidth="1" outlineLevel="1"/>
    <col min="17" max="17" width="11" hidden="1" customWidth="1" outlineLevel="1"/>
    <col min="18" max="18" width="10" customWidth="1" collapsed="1"/>
    <col min="19" max="19" width="12" customWidth="1"/>
    <col min="20" max="20" width="10.140625" hidden="1" customWidth="1" outlineLevel="1"/>
    <col min="21" max="21" width="12.5703125" customWidth="1" collapsed="1"/>
    <col min="22" max="22" width="10.85546875" customWidth="1"/>
    <col min="23" max="23" width="10.42578125" customWidth="1"/>
    <col min="24" max="24" width="11.85546875" customWidth="1"/>
    <col min="25" max="25" width="15.7109375" customWidth="1"/>
    <col min="26" max="26" width="15.140625" customWidth="1"/>
    <col min="27" max="27" width="14.5703125" customWidth="1"/>
    <col min="28" max="28" width="4.28515625" customWidth="1"/>
    <col min="29" max="29" width="0.85546875" customWidth="1"/>
    <col min="30" max="30" width="2.85546875" customWidth="1"/>
  </cols>
  <sheetData>
    <row r="1" spans="1:30" x14ac:dyDescent="0.25">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row>
    <row r="2" spans="1:30" ht="5.0999999999999996" customHeight="1" thickBot="1" x14ac:dyDescent="0.3">
      <c r="A2" s="93"/>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3"/>
    </row>
    <row r="3" spans="1:30" x14ac:dyDescent="0.25">
      <c r="A3" s="93"/>
      <c r="B3" s="92"/>
      <c r="C3" s="94"/>
      <c r="D3" s="95"/>
      <c r="E3" s="95"/>
      <c r="F3" s="95"/>
      <c r="G3" s="95"/>
      <c r="H3" s="95"/>
      <c r="I3" s="95"/>
      <c r="J3" s="95"/>
      <c r="K3" s="95"/>
      <c r="L3" s="95"/>
      <c r="M3" s="95"/>
      <c r="N3" s="95"/>
      <c r="O3" s="95"/>
      <c r="P3" s="95"/>
      <c r="Q3" s="95"/>
      <c r="R3" s="95"/>
      <c r="S3" s="95"/>
      <c r="T3" s="95"/>
      <c r="U3" s="95"/>
      <c r="V3" s="95"/>
      <c r="W3" s="95"/>
      <c r="X3" s="95"/>
      <c r="Y3" s="95"/>
      <c r="Z3" s="95"/>
      <c r="AA3" s="95"/>
      <c r="AB3" s="96"/>
      <c r="AC3" s="92"/>
      <c r="AD3" s="93"/>
    </row>
    <row r="4" spans="1:30" ht="32.25" thickBot="1" x14ac:dyDescent="0.55000000000000004">
      <c r="A4" s="93"/>
      <c r="B4" s="92"/>
      <c r="C4" s="97"/>
      <c r="D4" s="98" t="s">
        <v>325</v>
      </c>
      <c r="E4" s="99"/>
      <c r="F4" s="99"/>
      <c r="G4" s="99"/>
      <c r="H4" s="99"/>
      <c r="I4" s="99"/>
      <c r="J4" s="99"/>
      <c r="K4" s="99"/>
      <c r="L4" s="99"/>
      <c r="M4" s="99"/>
      <c r="N4" s="99"/>
      <c r="O4" s="99"/>
      <c r="P4" s="99"/>
      <c r="Q4" s="99"/>
      <c r="R4" s="99"/>
      <c r="S4" s="303"/>
      <c r="T4" s="99"/>
      <c r="U4" s="99"/>
      <c r="V4" s="99"/>
      <c r="W4" s="99"/>
      <c r="X4" s="99"/>
      <c r="Y4" s="99"/>
      <c r="Z4" s="273"/>
      <c r="AA4" s="320" t="s">
        <v>355</v>
      </c>
      <c r="AB4" s="100"/>
      <c r="AC4" s="92"/>
      <c r="AD4" s="93"/>
    </row>
    <row r="5" spans="1:30" ht="36.75" customHeight="1" thickBot="1" x14ac:dyDescent="0.3">
      <c r="A5" s="93"/>
      <c r="B5" s="92"/>
      <c r="C5" s="97"/>
      <c r="D5" s="173" t="s">
        <v>278</v>
      </c>
      <c r="E5" s="99"/>
      <c r="F5" s="99"/>
      <c r="G5" s="99"/>
      <c r="H5" s="99"/>
      <c r="I5" s="99"/>
      <c r="J5" s="99"/>
      <c r="K5" s="99"/>
      <c r="L5" s="99"/>
      <c r="M5" s="99"/>
      <c r="N5" s="173" t="s">
        <v>353</v>
      </c>
      <c r="O5" s="99"/>
      <c r="P5" s="99"/>
      <c r="Q5" s="99"/>
      <c r="R5" s="99"/>
      <c r="S5" s="99"/>
      <c r="T5" s="99"/>
      <c r="U5" s="272" t="s">
        <v>315</v>
      </c>
      <c r="V5" s="275">
        <v>1</v>
      </c>
      <c r="W5" s="269" t="str">
        <f>IF($V$5=1,"1st pay of month",IF($V$5=2,"2nd pay of month",IF($V$5=3,"3rd pay of month",IF($V$5=5,"Handwrite","1st pay of month"))))</f>
        <v>1st pay of month</v>
      </c>
      <c r="X5" s="270" t="s">
        <v>318</v>
      </c>
      <c r="Y5" s="271">
        <f>AA88</f>
        <v>0</v>
      </c>
      <c r="Z5" s="438" t="s">
        <v>316</v>
      </c>
      <c r="AA5" s="438" t="s">
        <v>317</v>
      </c>
      <c r="AB5" s="100"/>
      <c r="AC5" s="92"/>
      <c r="AD5" s="93"/>
    </row>
    <row r="6" spans="1:30" ht="20.100000000000001" customHeight="1" thickTop="1" thickBot="1" x14ac:dyDescent="0.3">
      <c r="A6" s="93"/>
      <c r="B6" s="92"/>
      <c r="C6" s="97"/>
      <c r="D6" s="99" t="s">
        <v>177</v>
      </c>
      <c r="E6" s="436"/>
      <c r="F6" s="437"/>
      <c r="G6" s="109" t="s">
        <v>178</v>
      </c>
      <c r="H6" s="436"/>
      <c r="I6" s="437"/>
      <c r="J6" s="99"/>
      <c r="K6" s="99"/>
      <c r="L6" s="99"/>
      <c r="M6" s="99"/>
      <c r="N6" s="99"/>
      <c r="O6" s="99"/>
      <c r="P6" s="99"/>
      <c r="Q6" s="99"/>
      <c r="R6" s="99"/>
      <c r="S6" s="99"/>
      <c r="T6" s="99"/>
      <c r="U6" s="99"/>
      <c r="V6" s="99"/>
      <c r="W6" s="99"/>
      <c r="X6" s="99"/>
      <c r="Y6" s="99"/>
      <c r="Z6" s="439"/>
      <c r="AA6" s="439"/>
      <c r="AB6" s="100"/>
      <c r="AC6" s="92"/>
      <c r="AD6" s="93"/>
    </row>
    <row r="7" spans="1:30" ht="29.25" customHeight="1" thickBot="1" x14ac:dyDescent="0.3">
      <c r="A7" s="93"/>
      <c r="B7" s="92"/>
      <c r="C7" s="97"/>
      <c r="D7" s="118" t="s">
        <v>9</v>
      </c>
      <c r="E7" s="118"/>
      <c r="F7" s="116"/>
      <c r="G7" s="116"/>
      <c r="H7" s="116"/>
      <c r="I7" s="116"/>
      <c r="J7" s="116"/>
      <c r="K7" s="116"/>
      <c r="L7" s="116"/>
      <c r="M7" s="116"/>
      <c r="N7" s="116"/>
      <c r="O7" s="116"/>
      <c r="P7" s="116"/>
      <c r="Q7" s="116"/>
      <c r="R7" s="116"/>
      <c r="S7" s="116"/>
      <c r="T7" s="116"/>
      <c r="U7" s="116"/>
      <c r="V7" s="261" t="s">
        <v>40</v>
      </c>
      <c r="W7" s="262" t="s">
        <v>166</v>
      </c>
      <c r="X7" s="260" t="s">
        <v>282</v>
      </c>
      <c r="Y7" s="259" t="s">
        <v>283</v>
      </c>
      <c r="Z7" s="440"/>
      <c r="AA7" s="440"/>
      <c r="AB7" s="100"/>
      <c r="AC7" s="92"/>
      <c r="AD7" s="93"/>
    </row>
    <row r="8" spans="1:30" x14ac:dyDescent="0.25">
      <c r="A8" s="93"/>
      <c r="B8" s="92"/>
      <c r="C8" s="97"/>
      <c r="D8" s="99"/>
      <c r="E8" s="187" t="s">
        <v>275</v>
      </c>
      <c r="F8" s="188"/>
      <c r="G8" s="188"/>
      <c r="H8" s="188"/>
      <c r="I8" s="188"/>
      <c r="J8" s="188"/>
      <c r="K8" s="188"/>
      <c r="L8" s="188"/>
      <c r="M8" s="188"/>
      <c r="N8" s="188"/>
      <c r="O8" s="188"/>
      <c r="P8" s="188"/>
      <c r="Q8" s="188"/>
      <c r="R8" s="188"/>
      <c r="S8" s="188"/>
      <c r="T8" s="188"/>
      <c r="U8" s="189"/>
      <c r="V8" s="276">
        <v>0</v>
      </c>
      <c r="W8" s="277">
        <v>0</v>
      </c>
      <c r="X8" s="278">
        <v>0</v>
      </c>
      <c r="Y8" s="305">
        <f>ROUND(($V8*$W8)+$X8,2)</f>
        <v>0</v>
      </c>
      <c r="Z8" s="306">
        <f>$Y8</f>
        <v>0</v>
      </c>
      <c r="AA8" s="307">
        <f>$Z8</f>
        <v>0</v>
      </c>
      <c r="AB8" s="100"/>
      <c r="AC8" s="92"/>
      <c r="AD8" s="93"/>
    </row>
    <row r="9" spans="1:30" x14ac:dyDescent="0.25">
      <c r="A9" s="93"/>
      <c r="B9" s="92"/>
      <c r="C9" s="97"/>
      <c r="D9" s="99"/>
      <c r="E9" s="187" t="s">
        <v>276</v>
      </c>
      <c r="F9" s="188"/>
      <c r="G9" s="188"/>
      <c r="H9" s="188"/>
      <c r="I9" s="188"/>
      <c r="J9" s="188"/>
      <c r="K9" s="188"/>
      <c r="L9" s="188"/>
      <c r="M9" s="188"/>
      <c r="N9" s="188"/>
      <c r="O9" s="188"/>
      <c r="P9" s="188"/>
      <c r="Q9" s="188"/>
      <c r="R9" s="188"/>
      <c r="S9" s="188"/>
      <c r="T9" s="188"/>
      <c r="U9" s="189"/>
      <c r="V9" s="279">
        <v>1.5</v>
      </c>
      <c r="W9" s="280">
        <v>0</v>
      </c>
      <c r="X9" s="281">
        <v>0</v>
      </c>
      <c r="Y9" s="305">
        <f>ROUND((($V$8*$W9*$V$9)+$X9),2)</f>
        <v>0</v>
      </c>
      <c r="Z9" s="306">
        <f t="shared" ref="Z9:Z26" si="0">$Y9</f>
        <v>0</v>
      </c>
      <c r="AA9" s="307">
        <f t="shared" ref="AA9:AA26" si="1">$Z9</f>
        <v>0</v>
      </c>
      <c r="AB9" s="100"/>
      <c r="AC9" s="92"/>
      <c r="AD9" s="93"/>
    </row>
    <row r="10" spans="1:30" x14ac:dyDescent="0.25">
      <c r="A10" s="93"/>
      <c r="B10" s="92"/>
      <c r="C10" s="97"/>
      <c r="D10" s="99"/>
      <c r="E10" s="187" t="s">
        <v>279</v>
      </c>
      <c r="F10" s="188"/>
      <c r="G10" s="188"/>
      <c r="H10" s="188"/>
      <c r="I10" s="188"/>
      <c r="J10" s="188"/>
      <c r="K10" s="188"/>
      <c r="L10" s="188"/>
      <c r="M10" s="188"/>
      <c r="N10" s="188"/>
      <c r="O10" s="188"/>
      <c r="P10" s="188"/>
      <c r="Q10" s="188"/>
      <c r="R10" s="188"/>
      <c r="S10" s="188"/>
      <c r="T10" s="188"/>
      <c r="U10" s="189"/>
      <c r="V10" s="282">
        <v>0.05</v>
      </c>
      <c r="W10" s="280">
        <v>0</v>
      </c>
      <c r="X10" s="281">
        <v>0</v>
      </c>
      <c r="Y10" s="307">
        <f>ROUND((($V$8*$V10*$W10)+$X10),2)</f>
        <v>0</v>
      </c>
      <c r="Z10" s="306">
        <f t="shared" si="0"/>
        <v>0</v>
      </c>
      <c r="AA10" s="307">
        <f t="shared" si="1"/>
        <v>0</v>
      </c>
      <c r="AB10" s="100"/>
      <c r="AC10" s="92"/>
      <c r="AD10" s="93"/>
    </row>
    <row r="11" spans="1:30" x14ac:dyDescent="0.25">
      <c r="A11" s="93"/>
      <c r="B11" s="92"/>
      <c r="C11" s="97"/>
      <c r="D11" s="99"/>
      <c r="E11" s="187" t="s">
        <v>280</v>
      </c>
      <c r="F11" s="188"/>
      <c r="G11" s="188"/>
      <c r="H11" s="188"/>
      <c r="I11" s="188"/>
      <c r="J11" s="188"/>
      <c r="K11" s="188"/>
      <c r="L11" s="188"/>
      <c r="M11" s="188"/>
      <c r="N11" s="188"/>
      <c r="O11" s="188"/>
      <c r="P11" s="188"/>
      <c r="Q11" s="188"/>
      <c r="R11" s="188"/>
      <c r="S11" s="188"/>
      <c r="T11" s="188"/>
      <c r="U11" s="189"/>
      <c r="V11" s="282">
        <v>0.1</v>
      </c>
      <c r="W11" s="280">
        <v>0</v>
      </c>
      <c r="X11" s="281">
        <v>0</v>
      </c>
      <c r="Y11" s="307">
        <f>ROUND((($V$8*$V11*$W11)+$X11),2)</f>
        <v>0</v>
      </c>
      <c r="Z11" s="306">
        <f t="shared" si="0"/>
        <v>0</v>
      </c>
      <c r="AA11" s="307">
        <f t="shared" si="1"/>
        <v>0</v>
      </c>
      <c r="AB11" s="100"/>
      <c r="AC11" s="92"/>
      <c r="AD11" s="93"/>
    </row>
    <row r="12" spans="1:30" x14ac:dyDescent="0.25">
      <c r="A12" s="93"/>
      <c r="B12" s="92"/>
      <c r="C12" s="97"/>
      <c r="D12" s="99"/>
      <c r="E12" s="187" t="s">
        <v>170</v>
      </c>
      <c r="F12" s="188"/>
      <c r="G12" s="188"/>
      <c r="H12" s="188"/>
      <c r="I12" s="188"/>
      <c r="J12" s="188"/>
      <c r="K12" s="188"/>
      <c r="L12" s="188"/>
      <c r="M12" s="188"/>
      <c r="N12" s="188"/>
      <c r="O12" s="188"/>
      <c r="P12" s="188"/>
      <c r="Q12" s="188"/>
      <c r="R12" s="188"/>
      <c r="S12" s="188"/>
      <c r="T12" s="188"/>
      <c r="U12" s="189"/>
      <c r="V12" s="282">
        <v>0.05</v>
      </c>
      <c r="W12" s="280">
        <v>0</v>
      </c>
      <c r="X12" s="281">
        <v>0</v>
      </c>
      <c r="Y12" s="307">
        <f>ROUND((($V$8*$W12*$V$12)+$X12),2)</f>
        <v>0</v>
      </c>
      <c r="Z12" s="306">
        <f t="shared" si="0"/>
        <v>0</v>
      </c>
      <c r="AA12" s="307">
        <f t="shared" si="1"/>
        <v>0</v>
      </c>
      <c r="AB12" s="100"/>
      <c r="AC12" s="92"/>
      <c r="AD12" s="93"/>
    </row>
    <row r="13" spans="1:30" x14ac:dyDescent="0.25">
      <c r="A13" s="93"/>
      <c r="B13" s="92"/>
      <c r="C13" s="97"/>
      <c r="D13" s="99"/>
      <c r="E13" s="187" t="s">
        <v>188</v>
      </c>
      <c r="F13" s="188"/>
      <c r="G13" s="188"/>
      <c r="H13" s="188"/>
      <c r="I13" s="188"/>
      <c r="J13" s="188"/>
      <c r="K13" s="188"/>
      <c r="L13" s="188"/>
      <c r="M13" s="188"/>
      <c r="N13" s="188"/>
      <c r="O13" s="188"/>
      <c r="P13" s="188"/>
      <c r="Q13" s="188"/>
      <c r="R13" s="188"/>
      <c r="S13" s="188"/>
      <c r="T13" s="188"/>
      <c r="U13" s="188"/>
      <c r="V13" s="188"/>
      <c r="W13" s="188"/>
      <c r="X13" s="281">
        <v>0</v>
      </c>
      <c r="Y13" s="307">
        <f>ROUND($X13,2)</f>
        <v>0</v>
      </c>
      <c r="Z13" s="306">
        <f t="shared" si="0"/>
        <v>0</v>
      </c>
      <c r="AA13" s="307">
        <f t="shared" si="1"/>
        <v>0</v>
      </c>
      <c r="AB13" s="100"/>
      <c r="AC13" s="92"/>
      <c r="AD13" s="93"/>
    </row>
    <row r="14" spans="1:30" x14ac:dyDescent="0.25">
      <c r="A14" s="93"/>
      <c r="B14" s="92"/>
      <c r="C14" s="97"/>
      <c r="D14" s="99"/>
      <c r="E14" s="187" t="s">
        <v>323</v>
      </c>
      <c r="F14" s="188"/>
      <c r="G14" s="188"/>
      <c r="H14" s="188"/>
      <c r="I14" s="188"/>
      <c r="J14" s="188"/>
      <c r="K14" s="188"/>
      <c r="L14" s="188"/>
      <c r="M14" s="188"/>
      <c r="N14" s="188"/>
      <c r="O14" s="188"/>
      <c r="P14" s="188"/>
      <c r="Q14" s="188"/>
      <c r="R14" s="188"/>
      <c r="S14" s="188"/>
      <c r="T14" s="188"/>
      <c r="U14" s="188"/>
      <c r="V14" s="188"/>
      <c r="W14" s="188"/>
      <c r="X14" s="281">
        <v>0</v>
      </c>
      <c r="Y14" s="307">
        <f>ROUND($X14,2)</f>
        <v>0</v>
      </c>
      <c r="Z14" s="306">
        <f t="shared" si="0"/>
        <v>0</v>
      </c>
      <c r="AA14" s="307">
        <f t="shared" si="1"/>
        <v>0</v>
      </c>
      <c r="AB14" s="100"/>
      <c r="AC14" s="92"/>
      <c r="AD14" s="93"/>
    </row>
    <row r="15" spans="1:30" x14ac:dyDescent="0.25">
      <c r="A15" s="93"/>
      <c r="B15" s="92"/>
      <c r="C15" s="97"/>
      <c r="D15" s="99"/>
      <c r="E15" s="117" t="s">
        <v>321</v>
      </c>
      <c r="F15" s="116"/>
      <c r="G15" s="116"/>
      <c r="H15" s="116"/>
      <c r="I15" s="116"/>
      <c r="J15" s="116"/>
      <c r="K15" s="116"/>
      <c r="L15" s="116"/>
      <c r="M15" s="116"/>
      <c r="N15" s="116"/>
      <c r="O15" s="116"/>
      <c r="P15" s="116"/>
      <c r="Q15" s="116"/>
      <c r="R15" s="116"/>
      <c r="S15" s="116"/>
      <c r="T15" s="116"/>
      <c r="U15" s="116"/>
      <c r="V15" s="116"/>
      <c r="W15" s="99"/>
      <c r="X15" s="281">
        <v>0</v>
      </c>
      <c r="Y15" s="299">
        <f>ROUND($X15,2)</f>
        <v>0</v>
      </c>
      <c r="Z15" s="300">
        <f t="shared" si="0"/>
        <v>0</v>
      </c>
      <c r="AA15" s="299">
        <f t="shared" si="1"/>
        <v>0</v>
      </c>
      <c r="AB15" s="100"/>
      <c r="AC15" s="92"/>
      <c r="AD15" s="93"/>
    </row>
    <row r="16" spans="1:30" x14ac:dyDescent="0.25">
      <c r="A16" s="93"/>
      <c r="B16" s="92"/>
      <c r="C16" s="97"/>
      <c r="D16" s="99"/>
      <c r="E16" s="187" t="s">
        <v>232</v>
      </c>
      <c r="F16" s="188"/>
      <c r="G16" s="188"/>
      <c r="H16" s="188"/>
      <c r="I16" s="188"/>
      <c r="J16" s="188"/>
      <c r="K16" s="188"/>
      <c r="L16" s="188"/>
      <c r="M16" s="188"/>
      <c r="N16" s="188"/>
      <c r="O16" s="188"/>
      <c r="P16" s="188"/>
      <c r="Q16" s="188"/>
      <c r="R16" s="188"/>
      <c r="S16" s="188"/>
      <c r="T16" s="188"/>
      <c r="U16" s="188"/>
      <c r="V16" s="188"/>
      <c r="W16" s="280">
        <v>0</v>
      </c>
      <c r="X16" s="281">
        <v>0</v>
      </c>
      <c r="Y16" s="305">
        <f t="shared" ref="Y16:Y25" si="2">ROUND((($V$8*$W16)+$X16),2)</f>
        <v>0</v>
      </c>
      <c r="Z16" s="306">
        <f t="shared" si="0"/>
        <v>0</v>
      </c>
      <c r="AA16" s="307">
        <f t="shared" si="1"/>
        <v>0</v>
      </c>
      <c r="AB16" s="100"/>
      <c r="AC16" s="92"/>
      <c r="AD16" s="93"/>
    </row>
    <row r="17" spans="1:30" x14ac:dyDescent="0.25">
      <c r="A17" s="93"/>
      <c r="B17" s="92"/>
      <c r="C17" s="97"/>
      <c r="D17" s="99"/>
      <c r="E17" s="187" t="s">
        <v>189</v>
      </c>
      <c r="F17" s="188"/>
      <c r="G17" s="188"/>
      <c r="H17" s="188"/>
      <c r="I17" s="188"/>
      <c r="J17" s="188"/>
      <c r="K17" s="188"/>
      <c r="L17" s="188"/>
      <c r="M17" s="188"/>
      <c r="N17" s="188"/>
      <c r="O17" s="188"/>
      <c r="P17" s="188"/>
      <c r="Q17" s="188"/>
      <c r="R17" s="188"/>
      <c r="S17" s="188"/>
      <c r="T17" s="188"/>
      <c r="U17" s="188"/>
      <c r="V17" s="188"/>
      <c r="W17" s="280">
        <v>0</v>
      </c>
      <c r="X17" s="281">
        <v>0</v>
      </c>
      <c r="Y17" s="307">
        <f t="shared" si="2"/>
        <v>0</v>
      </c>
      <c r="Z17" s="306">
        <f t="shared" si="0"/>
        <v>0</v>
      </c>
      <c r="AA17" s="307">
        <f t="shared" si="1"/>
        <v>0</v>
      </c>
      <c r="AB17" s="100"/>
      <c r="AC17" s="92"/>
      <c r="AD17" s="93"/>
    </row>
    <row r="18" spans="1:30" x14ac:dyDescent="0.25">
      <c r="A18" s="93"/>
      <c r="B18" s="92"/>
      <c r="C18" s="97"/>
      <c r="D18" s="99"/>
      <c r="E18" s="187" t="s">
        <v>285</v>
      </c>
      <c r="F18" s="188"/>
      <c r="G18" s="188"/>
      <c r="H18" s="188"/>
      <c r="I18" s="188"/>
      <c r="J18" s="188"/>
      <c r="K18" s="188"/>
      <c r="L18" s="188"/>
      <c r="M18" s="188"/>
      <c r="N18" s="188"/>
      <c r="O18" s="188"/>
      <c r="P18" s="188"/>
      <c r="Q18" s="188"/>
      <c r="R18" s="188"/>
      <c r="S18" s="188"/>
      <c r="T18" s="188"/>
      <c r="U18" s="188"/>
      <c r="V18" s="188"/>
      <c r="W18" s="280">
        <v>0</v>
      </c>
      <c r="X18" s="281">
        <v>0</v>
      </c>
      <c r="Y18" s="307">
        <f t="shared" si="2"/>
        <v>0</v>
      </c>
      <c r="Z18" s="306">
        <f t="shared" si="0"/>
        <v>0</v>
      </c>
      <c r="AA18" s="307">
        <f t="shared" si="1"/>
        <v>0</v>
      </c>
      <c r="AB18" s="100"/>
      <c r="AC18" s="92"/>
      <c r="AD18" s="93"/>
    </row>
    <row r="19" spans="1:30" x14ac:dyDescent="0.25">
      <c r="A19" s="93"/>
      <c r="B19" s="92"/>
      <c r="C19" s="97"/>
      <c r="D19" s="99"/>
      <c r="E19" s="198" t="s">
        <v>306</v>
      </c>
      <c r="F19" s="199"/>
      <c r="G19" s="199"/>
      <c r="H19" s="199"/>
      <c r="I19" s="199"/>
      <c r="J19" s="199"/>
      <c r="K19" s="199"/>
      <c r="L19" s="199"/>
      <c r="M19" s="199"/>
      <c r="N19" s="199"/>
      <c r="O19" s="199"/>
      <c r="P19" s="199"/>
      <c r="Q19" s="199"/>
      <c r="R19" s="199"/>
      <c r="S19" s="199"/>
      <c r="T19" s="199"/>
      <c r="U19" s="199"/>
      <c r="V19" s="200"/>
      <c r="W19" s="280">
        <v>0</v>
      </c>
      <c r="X19" s="281">
        <v>0</v>
      </c>
      <c r="Y19" s="299">
        <f t="shared" si="2"/>
        <v>0</v>
      </c>
      <c r="Z19" s="300">
        <f t="shared" si="0"/>
        <v>0</v>
      </c>
      <c r="AA19" s="299">
        <f t="shared" si="1"/>
        <v>0</v>
      </c>
      <c r="AB19" s="100"/>
      <c r="AC19" s="92"/>
      <c r="AD19" s="93"/>
    </row>
    <row r="20" spans="1:30" x14ac:dyDescent="0.25">
      <c r="A20" s="93"/>
      <c r="B20" s="92"/>
      <c r="C20" s="97"/>
      <c r="D20" s="99"/>
      <c r="E20" s="187" t="s">
        <v>228</v>
      </c>
      <c r="F20" s="188"/>
      <c r="G20" s="188"/>
      <c r="H20" s="188"/>
      <c r="I20" s="188"/>
      <c r="J20" s="188"/>
      <c r="K20" s="354" t="s">
        <v>326</v>
      </c>
      <c r="L20" s="188"/>
      <c r="M20" s="188"/>
      <c r="N20" s="188"/>
      <c r="O20" s="188"/>
      <c r="P20" s="188"/>
      <c r="Q20" s="188"/>
      <c r="R20" s="188"/>
      <c r="S20" s="188"/>
      <c r="T20" s="188"/>
      <c r="U20" s="188"/>
      <c r="V20" s="283" t="s">
        <v>135</v>
      </c>
      <c r="W20" s="280">
        <v>0</v>
      </c>
      <c r="X20" s="281">
        <v>0</v>
      </c>
      <c r="Y20" s="307">
        <f t="shared" si="2"/>
        <v>0</v>
      </c>
      <c r="Z20" s="306">
        <f t="shared" si="0"/>
        <v>0</v>
      </c>
      <c r="AA20" s="307">
        <f t="shared" si="1"/>
        <v>0</v>
      </c>
      <c r="AB20" s="100"/>
      <c r="AC20" s="92"/>
      <c r="AD20" s="93"/>
    </row>
    <row r="21" spans="1:30" x14ac:dyDescent="0.25">
      <c r="A21" s="93"/>
      <c r="B21" s="92"/>
      <c r="C21" s="97"/>
      <c r="D21" s="99"/>
      <c r="E21" s="187" t="s">
        <v>229</v>
      </c>
      <c r="F21" s="188"/>
      <c r="G21" s="188"/>
      <c r="H21" s="188"/>
      <c r="I21" s="188"/>
      <c r="J21" s="188"/>
      <c r="K21" s="354" t="s">
        <v>327</v>
      </c>
      <c r="L21" s="188"/>
      <c r="M21" s="188"/>
      <c r="N21" s="188"/>
      <c r="O21" s="188"/>
      <c r="P21" s="188"/>
      <c r="Q21" s="188"/>
      <c r="R21" s="188"/>
      <c r="S21" s="188"/>
      <c r="T21" s="188"/>
      <c r="U21" s="188"/>
      <c r="V21" s="283" t="s">
        <v>135</v>
      </c>
      <c r="W21" s="280">
        <v>0</v>
      </c>
      <c r="X21" s="281">
        <v>0</v>
      </c>
      <c r="Y21" s="307">
        <f t="shared" si="2"/>
        <v>0</v>
      </c>
      <c r="Z21" s="306">
        <f t="shared" si="0"/>
        <v>0</v>
      </c>
      <c r="AA21" s="307">
        <f t="shared" si="1"/>
        <v>0</v>
      </c>
      <c r="AB21" s="100"/>
      <c r="AC21" s="92"/>
      <c r="AD21" s="93"/>
    </row>
    <row r="22" spans="1:30" x14ac:dyDescent="0.25">
      <c r="A22" s="93"/>
      <c r="B22" s="92"/>
      <c r="C22" s="97"/>
      <c r="D22" s="99"/>
      <c r="E22" s="187" t="s">
        <v>230</v>
      </c>
      <c r="F22" s="188"/>
      <c r="G22" s="188"/>
      <c r="H22" s="188"/>
      <c r="I22" s="188"/>
      <c r="J22" s="188"/>
      <c r="K22" s="354" t="s">
        <v>326</v>
      </c>
      <c r="L22" s="188"/>
      <c r="M22" s="188"/>
      <c r="N22" s="188"/>
      <c r="O22" s="188"/>
      <c r="P22" s="188"/>
      <c r="Q22" s="188"/>
      <c r="R22" s="188"/>
      <c r="S22" s="188"/>
      <c r="T22" s="188"/>
      <c r="U22" s="188"/>
      <c r="V22" s="283" t="s">
        <v>135</v>
      </c>
      <c r="W22" s="280">
        <v>0</v>
      </c>
      <c r="X22" s="281">
        <v>0</v>
      </c>
      <c r="Y22" s="307">
        <f t="shared" si="2"/>
        <v>0</v>
      </c>
      <c r="Z22" s="306">
        <f t="shared" si="0"/>
        <v>0</v>
      </c>
      <c r="AA22" s="307">
        <f t="shared" si="1"/>
        <v>0</v>
      </c>
      <c r="AB22" s="100"/>
      <c r="AC22" s="92"/>
      <c r="AD22" s="93"/>
    </row>
    <row r="23" spans="1:30" x14ac:dyDescent="0.25">
      <c r="A23" s="93"/>
      <c r="B23" s="92"/>
      <c r="C23" s="97"/>
      <c r="D23" s="99"/>
      <c r="E23" s="187" t="s">
        <v>231</v>
      </c>
      <c r="F23" s="188"/>
      <c r="G23" s="188"/>
      <c r="H23" s="188"/>
      <c r="I23" s="188"/>
      <c r="J23" s="188"/>
      <c r="K23" s="354" t="s">
        <v>327</v>
      </c>
      <c r="L23" s="188"/>
      <c r="M23" s="188"/>
      <c r="N23" s="188"/>
      <c r="O23" s="188"/>
      <c r="P23" s="188"/>
      <c r="Q23" s="188"/>
      <c r="R23" s="188"/>
      <c r="S23" s="188"/>
      <c r="T23" s="188"/>
      <c r="U23" s="188"/>
      <c r="V23" s="283" t="s">
        <v>135</v>
      </c>
      <c r="W23" s="280">
        <v>0</v>
      </c>
      <c r="X23" s="281">
        <v>0</v>
      </c>
      <c r="Y23" s="307">
        <f t="shared" si="2"/>
        <v>0</v>
      </c>
      <c r="Z23" s="306">
        <f t="shared" si="0"/>
        <v>0</v>
      </c>
      <c r="AA23" s="307">
        <f t="shared" si="1"/>
        <v>0</v>
      </c>
      <c r="AB23" s="100"/>
      <c r="AC23" s="92"/>
      <c r="AD23" s="93"/>
    </row>
    <row r="24" spans="1:30" x14ac:dyDescent="0.25">
      <c r="A24" s="93"/>
      <c r="B24" s="92"/>
      <c r="C24" s="97"/>
      <c r="D24" s="99"/>
      <c r="E24" s="187" t="s">
        <v>272</v>
      </c>
      <c r="F24" s="188"/>
      <c r="G24" s="188"/>
      <c r="H24" s="188"/>
      <c r="I24" s="188"/>
      <c r="J24" s="188"/>
      <c r="K24" s="354" t="s">
        <v>326</v>
      </c>
      <c r="L24" s="188"/>
      <c r="M24" s="188"/>
      <c r="N24" s="188"/>
      <c r="O24" s="188"/>
      <c r="P24" s="188"/>
      <c r="Q24" s="188"/>
      <c r="R24" s="188"/>
      <c r="S24" s="188"/>
      <c r="T24" s="188"/>
      <c r="U24" s="188"/>
      <c r="V24" s="283" t="s">
        <v>135</v>
      </c>
      <c r="W24" s="280">
        <v>0</v>
      </c>
      <c r="X24" s="281">
        <v>0</v>
      </c>
      <c r="Y24" s="307">
        <f t="shared" si="2"/>
        <v>0</v>
      </c>
      <c r="Z24" s="306">
        <f t="shared" si="0"/>
        <v>0</v>
      </c>
      <c r="AA24" s="307">
        <f t="shared" si="1"/>
        <v>0</v>
      </c>
      <c r="AB24" s="100"/>
      <c r="AC24" s="92"/>
      <c r="AD24" s="93"/>
    </row>
    <row r="25" spans="1:30" x14ac:dyDescent="0.25">
      <c r="A25" s="93"/>
      <c r="B25" s="92"/>
      <c r="C25" s="97"/>
      <c r="D25" s="99"/>
      <c r="E25" s="198" t="s">
        <v>273</v>
      </c>
      <c r="F25" s="199"/>
      <c r="G25" s="199"/>
      <c r="H25" s="199"/>
      <c r="I25" s="199"/>
      <c r="J25" s="199"/>
      <c r="K25" s="355" t="s">
        <v>327</v>
      </c>
      <c r="L25" s="199"/>
      <c r="M25" s="199"/>
      <c r="N25" s="199"/>
      <c r="O25" s="199"/>
      <c r="P25" s="199"/>
      <c r="Q25" s="199"/>
      <c r="R25" s="199"/>
      <c r="S25" s="199"/>
      <c r="T25" s="199"/>
      <c r="U25" s="200"/>
      <c r="V25" s="283" t="s">
        <v>135</v>
      </c>
      <c r="W25" s="280">
        <v>0</v>
      </c>
      <c r="X25" s="281">
        <v>0</v>
      </c>
      <c r="Y25" s="299">
        <f t="shared" si="2"/>
        <v>0</v>
      </c>
      <c r="Z25" s="300">
        <f t="shared" si="0"/>
        <v>0</v>
      </c>
      <c r="AA25" s="299">
        <f t="shared" si="1"/>
        <v>0</v>
      </c>
      <c r="AB25" s="100"/>
      <c r="AC25" s="92"/>
      <c r="AD25" s="93"/>
    </row>
    <row r="26" spans="1:30" x14ac:dyDescent="0.25">
      <c r="A26" s="93"/>
      <c r="B26" s="92"/>
      <c r="C26" s="97"/>
      <c r="D26" s="99"/>
      <c r="E26" s="187" t="s">
        <v>184</v>
      </c>
      <c r="F26" s="188"/>
      <c r="G26" s="188"/>
      <c r="H26" s="188"/>
      <c r="I26" s="188"/>
      <c r="J26" s="188"/>
      <c r="K26" s="188"/>
      <c r="L26" s="188"/>
      <c r="M26" s="188"/>
      <c r="N26" s="188"/>
      <c r="O26" s="188"/>
      <c r="P26" s="188"/>
      <c r="Q26" s="188"/>
      <c r="R26" s="188"/>
      <c r="S26" s="188"/>
      <c r="T26" s="188"/>
      <c r="U26" s="188"/>
      <c r="V26" s="188"/>
      <c r="W26" s="188"/>
      <c r="X26" s="281">
        <v>0</v>
      </c>
      <c r="Y26" s="307">
        <f>ROUND($X26,2)</f>
        <v>0</v>
      </c>
      <c r="Z26" s="306">
        <f t="shared" si="0"/>
        <v>0</v>
      </c>
      <c r="AA26" s="307">
        <f t="shared" si="1"/>
        <v>0</v>
      </c>
      <c r="AB26" s="100"/>
      <c r="AC26" s="92"/>
      <c r="AD26" s="93"/>
    </row>
    <row r="27" spans="1:30" x14ac:dyDescent="0.25">
      <c r="A27" s="93"/>
      <c r="B27" s="92"/>
      <c r="C27" s="97"/>
      <c r="D27" s="99"/>
      <c r="E27" s="187" t="s">
        <v>284</v>
      </c>
      <c r="F27" s="188"/>
      <c r="G27" s="188"/>
      <c r="H27" s="188"/>
      <c r="I27" s="188"/>
      <c r="J27" s="188"/>
      <c r="K27" s="188"/>
      <c r="L27" s="188"/>
      <c r="M27" s="188"/>
      <c r="N27" s="188"/>
      <c r="O27" s="188"/>
      <c r="P27" s="188"/>
      <c r="Q27" s="188"/>
      <c r="R27" s="188"/>
      <c r="S27" s="188"/>
      <c r="T27" s="188"/>
      <c r="U27" s="188"/>
      <c r="V27" s="188"/>
      <c r="W27" s="188"/>
      <c r="X27" s="281">
        <v>0</v>
      </c>
      <c r="Y27" s="310" t="str">
        <f>IF($X27&lt;&gt;0,"taxed, not paid","")</f>
        <v/>
      </c>
      <c r="Z27" s="310" t="str">
        <f t="shared" ref="Z27:AA27" si="3">Y27</f>
        <v/>
      </c>
      <c r="AA27" s="310" t="str">
        <f t="shared" si="3"/>
        <v/>
      </c>
      <c r="AB27" s="100"/>
      <c r="AC27" s="92"/>
      <c r="AD27" s="93"/>
    </row>
    <row r="28" spans="1:30" x14ac:dyDescent="0.25">
      <c r="A28" s="93"/>
      <c r="B28" s="92"/>
      <c r="C28" s="97"/>
      <c r="D28" s="99"/>
      <c r="E28" s="187" t="s">
        <v>173</v>
      </c>
      <c r="F28" s="188"/>
      <c r="G28" s="188"/>
      <c r="H28" s="188"/>
      <c r="I28" s="188"/>
      <c r="J28" s="188"/>
      <c r="K28" s="188"/>
      <c r="L28" s="188"/>
      <c r="M28" s="188"/>
      <c r="N28" s="188"/>
      <c r="O28" s="188"/>
      <c r="P28" s="188"/>
      <c r="Q28" s="188"/>
      <c r="R28" s="188"/>
      <c r="S28" s="188"/>
      <c r="T28" s="188"/>
      <c r="U28" s="188"/>
      <c r="V28" s="190"/>
      <c r="W28" s="188"/>
      <c r="X28" s="281">
        <v>0</v>
      </c>
      <c r="Y28" s="307">
        <f>ROUND($X28,2)</f>
        <v>0</v>
      </c>
      <c r="Z28" s="306">
        <f t="shared" ref="Z28:Z30" si="4">$Y28</f>
        <v>0</v>
      </c>
      <c r="AA28" s="307">
        <f t="shared" ref="AA28:AA30" si="5">$Z28</f>
        <v>0</v>
      </c>
      <c r="AB28" s="100"/>
      <c r="AC28" s="92"/>
      <c r="AD28" s="93"/>
    </row>
    <row r="29" spans="1:30" x14ac:dyDescent="0.25">
      <c r="A29" s="93"/>
      <c r="B29" s="92"/>
      <c r="C29" s="97"/>
      <c r="D29" s="99"/>
      <c r="E29" s="187" t="s">
        <v>174</v>
      </c>
      <c r="F29" s="188"/>
      <c r="G29" s="188"/>
      <c r="H29" s="188"/>
      <c r="I29" s="188"/>
      <c r="J29" s="188"/>
      <c r="K29" s="188"/>
      <c r="L29" s="188"/>
      <c r="M29" s="188"/>
      <c r="N29" s="188"/>
      <c r="O29" s="188"/>
      <c r="P29" s="188"/>
      <c r="Q29" s="188"/>
      <c r="R29" s="188"/>
      <c r="S29" s="188"/>
      <c r="T29" s="188"/>
      <c r="U29" s="188"/>
      <c r="V29" s="188"/>
      <c r="W29" s="188"/>
      <c r="X29" s="281">
        <v>0</v>
      </c>
      <c r="Y29" s="307">
        <f>ROUND($X29,2)</f>
        <v>0</v>
      </c>
      <c r="Z29" s="306">
        <f t="shared" si="4"/>
        <v>0</v>
      </c>
      <c r="AA29" s="307">
        <f t="shared" si="5"/>
        <v>0</v>
      </c>
      <c r="AB29" s="100"/>
      <c r="AC29" s="92"/>
      <c r="AD29" s="93"/>
    </row>
    <row r="30" spans="1:30" x14ac:dyDescent="0.25">
      <c r="A30" s="93"/>
      <c r="B30" s="92"/>
      <c r="C30" s="97"/>
      <c r="D30" s="99"/>
      <c r="E30" s="246" t="s">
        <v>175</v>
      </c>
      <c r="F30" s="99"/>
      <c r="G30" s="99"/>
      <c r="H30" s="99"/>
      <c r="I30" s="99"/>
      <c r="J30" s="99"/>
      <c r="K30" s="99"/>
      <c r="L30" s="99"/>
      <c r="M30" s="99"/>
      <c r="N30" s="99"/>
      <c r="O30" s="99"/>
      <c r="P30" s="99"/>
      <c r="Q30" s="99"/>
      <c r="R30" s="99"/>
      <c r="S30" s="99"/>
      <c r="T30" s="99"/>
      <c r="U30" s="99"/>
      <c r="V30" s="106"/>
      <c r="W30" s="99"/>
      <c r="X30" s="281">
        <v>0</v>
      </c>
      <c r="Y30" s="221">
        <f>ROUND($X30,2)</f>
        <v>0</v>
      </c>
      <c r="Z30" s="230">
        <f t="shared" si="4"/>
        <v>0</v>
      </c>
      <c r="AA30" s="112">
        <f t="shared" si="5"/>
        <v>0</v>
      </c>
      <c r="AB30" s="100"/>
      <c r="AC30" s="92"/>
      <c r="AD30" s="93"/>
    </row>
    <row r="31" spans="1:30" x14ac:dyDescent="0.25">
      <c r="A31" s="93"/>
      <c r="B31" s="92"/>
      <c r="C31" s="97"/>
      <c r="D31" s="99"/>
      <c r="E31" s="208" t="s">
        <v>0</v>
      </c>
      <c r="F31" s="209"/>
      <c r="G31" s="209"/>
      <c r="H31" s="209"/>
      <c r="I31" s="209"/>
      <c r="J31" s="209"/>
      <c r="K31" s="209"/>
      <c r="L31" s="209"/>
      <c r="M31" s="209"/>
      <c r="N31" s="209"/>
      <c r="O31" s="209"/>
      <c r="P31" s="209"/>
      <c r="Q31" s="209"/>
      <c r="R31" s="209"/>
      <c r="S31" s="209"/>
      <c r="T31" s="209"/>
      <c r="U31" s="209"/>
      <c r="V31" s="209"/>
      <c r="W31" s="209"/>
      <c r="X31" s="209"/>
      <c r="Y31" s="210">
        <f>SUM(Y8:Y30)</f>
        <v>0</v>
      </c>
      <c r="Z31" s="210">
        <f>SUM(Z8:Z30)</f>
        <v>0</v>
      </c>
      <c r="AA31" s="210">
        <f>SUM(AA8:AA30)</f>
        <v>0</v>
      </c>
      <c r="AB31" s="100"/>
      <c r="AC31" s="92"/>
      <c r="AD31" s="93"/>
    </row>
    <row r="32" spans="1:30" x14ac:dyDescent="0.25">
      <c r="A32" s="93"/>
      <c r="B32" s="92"/>
      <c r="C32" s="97"/>
      <c r="D32" s="99"/>
      <c r="E32" s="99"/>
      <c r="F32" s="99"/>
      <c r="G32" s="99"/>
      <c r="H32" s="99"/>
      <c r="I32" s="99"/>
      <c r="J32" s="99"/>
      <c r="K32" s="99"/>
      <c r="L32" s="99"/>
      <c r="M32" s="99"/>
      <c r="N32" s="99"/>
      <c r="O32" s="99"/>
      <c r="P32" s="99"/>
      <c r="Q32" s="99"/>
      <c r="R32" s="99"/>
      <c r="S32" s="99"/>
      <c r="T32" s="99"/>
      <c r="U32" s="99"/>
      <c r="V32" s="99"/>
      <c r="W32" s="99"/>
      <c r="X32" s="99"/>
      <c r="Y32" s="202"/>
      <c r="Z32" s="202"/>
      <c r="AA32" s="202"/>
      <c r="AB32" s="100"/>
      <c r="AC32" s="92"/>
      <c r="AD32" s="93"/>
    </row>
    <row r="33" spans="1:30" x14ac:dyDescent="0.25">
      <c r="A33" s="93"/>
      <c r="B33" s="92"/>
      <c r="C33" s="97"/>
      <c r="D33" s="118" t="s">
        <v>148</v>
      </c>
      <c r="E33" s="116"/>
      <c r="F33" s="116"/>
      <c r="G33" s="116"/>
      <c r="H33" s="99"/>
      <c r="I33" s="99"/>
      <c r="J33" s="99"/>
      <c r="K33" s="99"/>
      <c r="L33" s="99"/>
      <c r="M33" s="99"/>
      <c r="N33" s="99"/>
      <c r="O33" s="99"/>
      <c r="P33" s="99"/>
      <c r="Q33" s="99"/>
      <c r="R33" s="99"/>
      <c r="S33" s="99"/>
      <c r="T33" s="99"/>
      <c r="U33" s="99"/>
      <c r="V33" s="99"/>
      <c r="W33" s="116"/>
      <c r="X33" s="130" t="s">
        <v>298</v>
      </c>
      <c r="Y33" s="309"/>
      <c r="Z33" s="309"/>
      <c r="AA33" s="309"/>
      <c r="AB33" s="100"/>
      <c r="AC33" s="92"/>
      <c r="AD33" s="93"/>
    </row>
    <row r="34" spans="1:30" x14ac:dyDescent="0.25">
      <c r="A34" s="93"/>
      <c r="B34" s="92"/>
      <c r="C34" s="97"/>
      <c r="D34" s="99">
        <v>1</v>
      </c>
      <c r="E34" s="187" t="s">
        <v>24</v>
      </c>
      <c r="F34" s="188"/>
      <c r="G34" s="188"/>
      <c r="H34" s="443" t="s">
        <v>13</v>
      </c>
      <c r="I34" s="444"/>
      <c r="J34" s="444"/>
      <c r="K34" s="444"/>
      <c r="L34" s="444"/>
      <c r="M34" s="444"/>
      <c r="N34" s="444"/>
      <c r="O34" s="444"/>
      <c r="P34" s="444"/>
      <c r="Q34" s="444"/>
      <c r="R34" s="444"/>
      <c r="S34" s="444"/>
      <c r="T34" s="444"/>
      <c r="U34" s="445"/>
      <c r="V34" s="435">
        <f>VLOOKUP(H34,'TAX TABLES'!$Q$9:$S$24,3,FALSE)</f>
        <v>0.1135</v>
      </c>
      <c r="W34" s="188"/>
      <c r="X34" s="281">
        <v>0</v>
      </c>
      <c r="Y34" s="308">
        <f>ROUND((IF($H$34="NO RETIREMENT",0,  IF($H$34="PLAN-ASRS",$V$34*ASRSeligibleWage,    IF($H$34="ELECTED OFFICIALS &amp; JUDGES (415)",$V$34*EORPeligibleWage,   IF(  OR($H$34="CORRECTIONS (500)", $H$34="JUVENILE CORRECTIONS (501)",$H$34="PUBLIC SAFETY DISPATCHERS (563)",$H$34="PUBLIC SAFETY DETENTION OFFICERS"),$V$34*CORPeligibleWage,$V$34*PSRSeligibleWage)      )))+$X34),2)</f>
        <v>0</v>
      </c>
      <c r="Z34" s="308">
        <f>IF(VLOOKUP($E34,CYCLES!$E$4:$N$45, IF($V$5=1,2,IF($V$5=2,3,IF($V$5=3,4,IF($V$5=5,6,1)))),FALSE)="X",$Y34,0)</f>
        <v>0</v>
      </c>
      <c r="AA34" s="308">
        <f>IF(VLOOKUP($E34,PRIORITIES!$E$5:$H$46,4,FALSE)&gt;0,$Z34,0)</f>
        <v>0</v>
      </c>
      <c r="AB34" s="100"/>
      <c r="AC34" s="92"/>
      <c r="AD34" s="93"/>
    </row>
    <row r="35" spans="1:30" x14ac:dyDescent="0.25">
      <c r="A35" s="93"/>
      <c r="B35" s="92"/>
      <c r="C35" s="97"/>
      <c r="D35" s="99">
        <v>3</v>
      </c>
      <c r="E35" s="198" t="s">
        <v>138</v>
      </c>
      <c r="F35" s="199"/>
      <c r="G35" s="199"/>
      <c r="H35" s="199"/>
      <c r="I35" s="199"/>
      <c r="J35" s="199"/>
      <c r="K35" s="199"/>
      <c r="L35" s="199"/>
      <c r="M35" s="199"/>
      <c r="N35" s="199"/>
      <c r="O35" s="199"/>
      <c r="P35" s="199"/>
      <c r="Q35" s="199"/>
      <c r="R35" s="199"/>
      <c r="S35" s="199"/>
      <c r="T35" s="199"/>
      <c r="U35" s="199"/>
      <c r="V35" s="199"/>
      <c r="W35" s="199"/>
      <c r="X35" s="281">
        <v>0</v>
      </c>
      <c r="Y35" s="299">
        <f t="shared" ref="Y35:Y45" si="6">ROUND($X35,2)</f>
        <v>0</v>
      </c>
      <c r="Z35" s="301">
        <f>IF(VLOOKUP($E35,CYCLES!$E$4:$N$45, IF($V$5=1,2,IF($V$5=2,3,IF($V$5=3,4,IF($V$5=5,6,1)))),FALSE)="X",$Y35,0)</f>
        <v>0</v>
      </c>
      <c r="AA35" s="301">
        <f>IF(VLOOKUP($E35,PRIORITIES!$E$5:$H$46,4,FALSE)&gt;0,$Z35,0)</f>
        <v>0</v>
      </c>
      <c r="AB35" s="100"/>
      <c r="AC35" s="92"/>
      <c r="AD35" s="93"/>
    </row>
    <row r="36" spans="1:30" x14ac:dyDescent="0.25">
      <c r="A36" s="93"/>
      <c r="B36" s="92"/>
      <c r="C36" s="97"/>
      <c r="D36" s="99">
        <v>2</v>
      </c>
      <c r="E36" s="191" t="s">
        <v>139</v>
      </c>
      <c r="F36" s="188"/>
      <c r="G36" s="188"/>
      <c r="H36" s="188"/>
      <c r="I36" s="188"/>
      <c r="J36" s="188"/>
      <c r="K36" s="188"/>
      <c r="L36" s="188"/>
      <c r="M36" s="188"/>
      <c r="N36" s="188"/>
      <c r="O36" s="188"/>
      <c r="P36" s="188"/>
      <c r="Q36" s="188"/>
      <c r="R36" s="188"/>
      <c r="S36" s="188"/>
      <c r="T36" s="188"/>
      <c r="U36" s="188"/>
      <c r="V36" s="188"/>
      <c r="W36" s="188"/>
      <c r="X36" s="281">
        <v>0</v>
      </c>
      <c r="Y36" s="307">
        <f t="shared" si="6"/>
        <v>0</v>
      </c>
      <c r="Z36" s="308">
        <f>IF(VLOOKUP($E36,CYCLES!$E$4:$N$45, IF($V$5=1,2,IF($V$5=2,3,IF($V$5=3,4,IF($V$5=5,6,1)))),FALSE)="X",$Y36,0)</f>
        <v>0</v>
      </c>
      <c r="AA36" s="308">
        <f>IF(VLOOKUP($E36,PRIORITIES!$E$5:$H$46,4,FALSE)&gt;0,$Z36,0)</f>
        <v>0</v>
      </c>
      <c r="AB36" s="100"/>
      <c r="AC36" s="92"/>
      <c r="AD36" s="93"/>
    </row>
    <row r="37" spans="1:30" x14ac:dyDescent="0.25">
      <c r="A37" s="93"/>
      <c r="B37" s="92"/>
      <c r="C37" s="97"/>
      <c r="D37" s="99">
        <v>2</v>
      </c>
      <c r="E37" s="191" t="s">
        <v>140</v>
      </c>
      <c r="F37" s="188"/>
      <c r="G37" s="188"/>
      <c r="H37" s="188"/>
      <c r="I37" s="188"/>
      <c r="J37" s="188"/>
      <c r="K37" s="188"/>
      <c r="L37" s="188"/>
      <c r="M37" s="188"/>
      <c r="N37" s="188"/>
      <c r="O37" s="188"/>
      <c r="P37" s="188"/>
      <c r="Q37" s="188"/>
      <c r="R37" s="188"/>
      <c r="S37" s="188"/>
      <c r="T37" s="188"/>
      <c r="U37" s="188"/>
      <c r="V37" s="188"/>
      <c r="W37" s="188"/>
      <c r="X37" s="281">
        <v>0</v>
      </c>
      <c r="Y37" s="307">
        <f t="shared" si="6"/>
        <v>0</v>
      </c>
      <c r="Z37" s="308">
        <f>IF(VLOOKUP($E37,CYCLES!$E$4:$N$45, IF($V$5=1,2,IF($V$5=2,3,IF($V$5=3,4,IF($V$5=5,6,1)))),FALSE)="X",$Y37,0)</f>
        <v>0</v>
      </c>
      <c r="AA37" s="308">
        <f>IF(VLOOKUP($E37,PRIORITIES!$E$5:$H$46,4,FALSE)&gt;0,$Z37,0)</f>
        <v>0</v>
      </c>
      <c r="AB37" s="100"/>
      <c r="AC37" s="92"/>
      <c r="AD37" s="93"/>
    </row>
    <row r="38" spans="1:30" x14ac:dyDescent="0.25">
      <c r="A38" s="93"/>
      <c r="B38" s="92"/>
      <c r="C38" s="97"/>
      <c r="D38" s="99">
        <v>4</v>
      </c>
      <c r="E38" s="191" t="s">
        <v>141</v>
      </c>
      <c r="F38" s="188"/>
      <c r="G38" s="188"/>
      <c r="H38" s="188"/>
      <c r="I38" s="188"/>
      <c r="J38" s="188"/>
      <c r="K38" s="188"/>
      <c r="L38" s="188"/>
      <c r="M38" s="188"/>
      <c r="N38" s="188"/>
      <c r="O38" s="188"/>
      <c r="P38" s="188"/>
      <c r="Q38" s="188"/>
      <c r="R38" s="188"/>
      <c r="S38" s="188"/>
      <c r="T38" s="188"/>
      <c r="U38" s="188"/>
      <c r="V38" s="188"/>
      <c r="W38" s="188"/>
      <c r="X38" s="281">
        <v>0</v>
      </c>
      <c r="Y38" s="307">
        <f t="shared" si="6"/>
        <v>0</v>
      </c>
      <c r="Z38" s="308">
        <f>IF(VLOOKUP($E38,CYCLES!$E$4:$N$45, IF($V$5=1,2,IF($V$5=2,3,IF($V$5=3,4,IF($V$5=5,6,1)))),FALSE)="X",$Y38,0)</f>
        <v>0</v>
      </c>
      <c r="AA38" s="308">
        <f>IF(VLOOKUP($E38,PRIORITIES!$E$5:$H$46,4,FALSE)&gt;0,$Z38,0)</f>
        <v>0</v>
      </c>
      <c r="AB38" s="100"/>
      <c r="AC38" s="92"/>
      <c r="AD38" s="93"/>
    </row>
    <row r="39" spans="1:30" x14ac:dyDescent="0.25">
      <c r="A39" s="93"/>
      <c r="B39" s="92"/>
      <c r="C39" s="97"/>
      <c r="D39" s="99">
        <v>2</v>
      </c>
      <c r="E39" s="191" t="s">
        <v>142</v>
      </c>
      <c r="F39" s="188"/>
      <c r="G39" s="188"/>
      <c r="H39" s="188"/>
      <c r="I39" s="188"/>
      <c r="J39" s="188"/>
      <c r="K39" s="188"/>
      <c r="L39" s="188"/>
      <c r="M39" s="188"/>
      <c r="N39" s="188"/>
      <c r="O39" s="188"/>
      <c r="P39" s="188"/>
      <c r="Q39" s="188"/>
      <c r="R39" s="188"/>
      <c r="S39" s="188"/>
      <c r="T39" s="188"/>
      <c r="U39" s="188"/>
      <c r="V39" s="188"/>
      <c r="W39" s="188"/>
      <c r="X39" s="281">
        <v>0</v>
      </c>
      <c r="Y39" s="307">
        <f t="shared" si="6"/>
        <v>0</v>
      </c>
      <c r="Z39" s="308">
        <f>IF(VLOOKUP($E39,CYCLES!$E$4:$N$45, IF($V$5=1,2,IF($V$5=2,3,IF($V$5=3,4,IF($V$5=5,6,1)))),FALSE)="X",$Y39,0)</f>
        <v>0</v>
      </c>
      <c r="AA39" s="308">
        <f>IF(VLOOKUP($E39,PRIORITIES!$E$5:$H$46,4,FALSE)&gt;0,$Z39,0)</f>
        <v>0</v>
      </c>
      <c r="AB39" s="100"/>
      <c r="AC39" s="92"/>
      <c r="AD39" s="93"/>
    </row>
    <row r="40" spans="1:30" x14ac:dyDescent="0.25">
      <c r="A40" s="93"/>
      <c r="B40" s="92"/>
      <c r="C40" s="97"/>
      <c r="D40" s="99">
        <v>2</v>
      </c>
      <c r="E40" s="191" t="s">
        <v>305</v>
      </c>
      <c r="F40" s="188"/>
      <c r="G40" s="188"/>
      <c r="H40" s="188"/>
      <c r="I40" s="188"/>
      <c r="J40" s="188"/>
      <c r="K40" s="188"/>
      <c r="L40" s="188"/>
      <c r="M40" s="188"/>
      <c r="N40" s="188"/>
      <c r="O40" s="188"/>
      <c r="P40" s="188"/>
      <c r="Q40" s="188"/>
      <c r="R40" s="188"/>
      <c r="S40" s="188"/>
      <c r="T40" s="188"/>
      <c r="U40" s="188"/>
      <c r="V40" s="188"/>
      <c r="W40" s="188"/>
      <c r="X40" s="281">
        <v>0</v>
      </c>
      <c r="Y40" s="307">
        <f t="shared" si="6"/>
        <v>0</v>
      </c>
      <c r="Z40" s="308">
        <f>IF(VLOOKUP($E40,CYCLES!$E$4:$N$45, IF($V$5=1,2,IF($V$5=2,3,IF($V$5=3,4,IF($V$5=5,6,1)))),FALSE)="X",$Y40,0)</f>
        <v>0</v>
      </c>
      <c r="AA40" s="308">
        <f>IF(VLOOKUP($E40,PRIORITIES!$E$5:$H$46,4,FALSE)&gt;0,$Z40,0)</f>
        <v>0</v>
      </c>
      <c r="AB40" s="100"/>
      <c r="AC40" s="92"/>
      <c r="AD40" s="93"/>
    </row>
    <row r="41" spans="1:30" x14ac:dyDescent="0.25">
      <c r="A41" s="93"/>
      <c r="B41" s="92"/>
      <c r="C41" s="97"/>
      <c r="D41" s="99">
        <v>2</v>
      </c>
      <c r="E41" s="201" t="s">
        <v>162</v>
      </c>
      <c r="F41" s="199"/>
      <c r="G41" s="199"/>
      <c r="H41" s="199"/>
      <c r="I41" s="199"/>
      <c r="J41" s="199"/>
      <c r="K41" s="199"/>
      <c r="L41" s="199"/>
      <c r="M41" s="199"/>
      <c r="N41" s="199"/>
      <c r="O41" s="199"/>
      <c r="P41" s="199"/>
      <c r="Q41" s="199"/>
      <c r="R41" s="199"/>
      <c r="S41" s="199"/>
      <c r="T41" s="199"/>
      <c r="U41" s="199"/>
      <c r="V41" s="199"/>
      <c r="W41" s="200"/>
      <c r="X41" s="281">
        <v>0</v>
      </c>
      <c r="Y41" s="299">
        <f t="shared" si="6"/>
        <v>0</v>
      </c>
      <c r="Z41" s="301">
        <f>IF(VLOOKUP($E41,CYCLES!$E$4:$N$45, IF($V$5=1,2,IF($V$5=2,3,IF($V$5=3,4,IF($V$5=5,6,1)))),FALSE)="X",$Y41,0)</f>
        <v>0</v>
      </c>
      <c r="AA41" s="301">
        <f>IF(VLOOKUP($E41,PRIORITIES!$E$5:$H$46,4,FALSE)&gt;0,$Z41,0)</f>
        <v>0</v>
      </c>
      <c r="AB41" s="100"/>
      <c r="AC41" s="92"/>
      <c r="AD41" s="93"/>
    </row>
    <row r="42" spans="1:30" x14ac:dyDescent="0.25">
      <c r="A42" s="93"/>
      <c r="B42" s="92"/>
      <c r="C42" s="97"/>
      <c r="D42" s="99">
        <v>9</v>
      </c>
      <c r="E42" s="191" t="s">
        <v>179</v>
      </c>
      <c r="F42" s="188"/>
      <c r="G42" s="188"/>
      <c r="H42" s="188"/>
      <c r="I42" s="188"/>
      <c r="J42" s="188"/>
      <c r="K42" s="188"/>
      <c r="L42" s="188"/>
      <c r="M42" s="188"/>
      <c r="N42" s="188"/>
      <c r="O42" s="188"/>
      <c r="P42" s="188"/>
      <c r="Q42" s="188"/>
      <c r="R42" s="188"/>
      <c r="S42" s="188"/>
      <c r="T42" s="188"/>
      <c r="U42" s="188"/>
      <c r="V42" s="188"/>
      <c r="W42" s="274" t="str">
        <f>IF($Y42&lt;&gt;0,"May be restricted by annual contribution limits ==&gt;","")</f>
        <v/>
      </c>
      <c r="X42" s="281">
        <v>0</v>
      </c>
      <c r="Y42" s="307">
        <f t="shared" si="6"/>
        <v>0</v>
      </c>
      <c r="Z42" s="308">
        <f>IF(VLOOKUP($E42,CYCLES!$E$4:$N$45, IF($V$5=1,2,IF($V$5=2,3,IF($V$5=3,4,IF($V$5=5,6,1)))),FALSE)="X",$Y42,0)</f>
        <v>0</v>
      </c>
      <c r="AA42" s="308">
        <f>IF(VLOOKUP($E42,PRIORITIES!$E$5:$H$46,4,FALSE)&gt;0,$Z42,0)</f>
        <v>0</v>
      </c>
      <c r="AB42" s="100"/>
      <c r="AC42" s="92"/>
      <c r="AD42" s="93"/>
    </row>
    <row r="43" spans="1:30" x14ac:dyDescent="0.25">
      <c r="A43" s="93"/>
      <c r="B43" s="92"/>
      <c r="C43" s="97"/>
      <c r="D43" s="99">
        <v>8</v>
      </c>
      <c r="E43" s="187" t="s">
        <v>309</v>
      </c>
      <c r="F43" s="188"/>
      <c r="G43" s="188"/>
      <c r="H43" s="188"/>
      <c r="I43" s="188"/>
      <c r="J43" s="188"/>
      <c r="K43" s="290">
        <v>0</v>
      </c>
      <c r="L43" s="188"/>
      <c r="M43" s="188"/>
      <c r="N43" s="188"/>
      <c r="O43" s="188"/>
      <c r="P43" s="188"/>
      <c r="Q43" s="188"/>
      <c r="R43" s="188"/>
      <c r="S43" s="188"/>
      <c r="T43" s="188"/>
      <c r="U43" s="188"/>
      <c r="V43" s="188"/>
      <c r="W43" s="274" t="str">
        <f>IF($Y43&lt;&gt;0,"May be restricted by annual contribution limits ==&gt;","")</f>
        <v/>
      </c>
      <c r="X43" s="281">
        <v>0</v>
      </c>
      <c r="Y43" s="307">
        <f>ROUND((('WAGE BASE'!$L$31*ESTIMATOR!$K$43)+$X43),2)</f>
        <v>0</v>
      </c>
      <c r="Z43" s="308">
        <f>IF(VLOOKUP($E43,CYCLES!$E$4:$N$45, IF($V$5=1,2,IF($V$5=2,3,IF($V$5=3,4,IF($V$5=5,6,1)))),FALSE)="X",$Y43,0)</f>
        <v>0</v>
      </c>
      <c r="AA43" s="308">
        <f>IF(VLOOKUP($E43,PRIORITIES!$E$5:$H$46,4,FALSE)&gt;0,$Z43,   IF(  AND($K$43=100%,PRIORITIES!$H$45&gt;0),-PRIORITIES!$H$45,0))</f>
        <v>0</v>
      </c>
      <c r="AB43" s="100"/>
      <c r="AC43" s="92"/>
      <c r="AD43" s="93"/>
    </row>
    <row r="44" spans="1:30" x14ac:dyDescent="0.25">
      <c r="A44" s="93"/>
      <c r="B44" s="92"/>
      <c r="C44" s="97"/>
      <c r="D44" s="99">
        <v>9</v>
      </c>
      <c r="E44" s="191" t="s">
        <v>144</v>
      </c>
      <c r="F44" s="188"/>
      <c r="G44" s="188"/>
      <c r="H44" s="188"/>
      <c r="I44" s="188"/>
      <c r="J44" s="188"/>
      <c r="K44" s="188"/>
      <c r="L44" s="188"/>
      <c r="M44" s="188"/>
      <c r="N44" s="188"/>
      <c r="O44" s="188"/>
      <c r="P44" s="188"/>
      <c r="Q44" s="188"/>
      <c r="R44" s="188"/>
      <c r="S44" s="188"/>
      <c r="T44" s="188"/>
      <c r="U44" s="188"/>
      <c r="V44" s="188"/>
      <c r="W44" s="188"/>
      <c r="X44" s="281">
        <v>0</v>
      </c>
      <c r="Y44" s="307">
        <f t="shared" si="6"/>
        <v>0</v>
      </c>
      <c r="Z44" s="308">
        <f>IF(VLOOKUP($E44,CYCLES!$E$4:$N$45, IF($V$5=1,2,IF($V$5=2,3,IF($V$5=3,4,IF($V$5=5,6,1)))),FALSE)="X",$Y44,0)</f>
        <v>0</v>
      </c>
      <c r="AA44" s="308">
        <f>IF(VLOOKUP($E44,PRIORITIES!$E$5:$H$46,4,FALSE)&gt;0,$Z44,0)</f>
        <v>0</v>
      </c>
      <c r="AB44" s="100"/>
      <c r="AC44" s="92"/>
      <c r="AD44" s="93"/>
    </row>
    <row r="45" spans="1:30" x14ac:dyDescent="0.25">
      <c r="A45" s="93"/>
      <c r="B45" s="92"/>
      <c r="C45" s="97"/>
      <c r="D45" s="99">
        <v>9</v>
      </c>
      <c r="E45" s="247" t="s">
        <v>308</v>
      </c>
      <c r="F45" s="99"/>
      <c r="G45" s="99"/>
      <c r="H45" s="99"/>
      <c r="I45" s="99"/>
      <c r="J45" s="99"/>
      <c r="K45" s="99"/>
      <c r="L45" s="99"/>
      <c r="M45" s="99"/>
      <c r="N45" s="99"/>
      <c r="O45" s="99"/>
      <c r="P45" s="99"/>
      <c r="Q45" s="99"/>
      <c r="R45" s="99"/>
      <c r="S45" s="99"/>
      <c r="T45" s="99"/>
      <c r="U45" s="99"/>
      <c r="V45" s="99"/>
      <c r="W45" s="274" t="str">
        <f>IF($Y45&lt;&gt;0,"May be restricted by annual contribution limits ==&gt;","")</f>
        <v/>
      </c>
      <c r="X45" s="281">
        <v>0</v>
      </c>
      <c r="Y45" s="221">
        <f t="shared" si="6"/>
        <v>0</v>
      </c>
      <c r="Z45" s="107">
        <f>IF(VLOOKUP($E45,CYCLES!$E$4:$N$45, IF($V$5=1,2,IF($V$5=2,3,IF($V$5=3,4,IF($V$5=5,6,1)))),FALSE)="X",$Y45,0)</f>
        <v>0</v>
      </c>
      <c r="AA45" s="107">
        <f>IF(VLOOKUP($E45,PRIORITIES!$E$5:$H$46,4,FALSE)&gt;0,$Z45,0)</f>
        <v>0</v>
      </c>
      <c r="AB45" s="100"/>
      <c r="AC45" s="92"/>
      <c r="AD45" s="93"/>
    </row>
    <row r="46" spans="1:30" x14ac:dyDescent="0.25">
      <c r="A46" s="93"/>
      <c r="B46" s="92"/>
      <c r="C46" s="97"/>
      <c r="D46" s="99"/>
      <c r="E46" s="211" t="s">
        <v>151</v>
      </c>
      <c r="F46" s="209"/>
      <c r="G46" s="209"/>
      <c r="H46" s="209"/>
      <c r="I46" s="209"/>
      <c r="J46" s="209"/>
      <c r="K46" s="209"/>
      <c r="L46" s="209"/>
      <c r="M46" s="209"/>
      <c r="N46" s="209"/>
      <c r="O46" s="209"/>
      <c r="P46" s="209"/>
      <c r="Q46" s="209"/>
      <c r="R46" s="209"/>
      <c r="S46" s="209"/>
      <c r="T46" s="209"/>
      <c r="U46" s="209"/>
      <c r="V46" s="209"/>
      <c r="W46" s="209"/>
      <c r="X46" s="209"/>
      <c r="Y46" s="210">
        <f>SUM(Y32:Y45)</f>
        <v>0</v>
      </c>
      <c r="Z46" s="210">
        <f>SUM(Z32:Z45)</f>
        <v>0</v>
      </c>
      <c r="AA46" s="210">
        <f>SUM(AA34:AA45)</f>
        <v>0</v>
      </c>
      <c r="AB46" s="100"/>
      <c r="AC46" s="92"/>
      <c r="AD46" s="93"/>
    </row>
    <row r="47" spans="1:30" ht="15.75" thickBot="1" x14ac:dyDescent="0.3">
      <c r="A47" s="93"/>
      <c r="B47" s="92"/>
      <c r="C47" s="97"/>
      <c r="D47" s="99"/>
      <c r="E47" s="102"/>
      <c r="F47" s="99"/>
      <c r="G47" s="99"/>
      <c r="H47" s="99"/>
      <c r="I47" s="99"/>
      <c r="J47" s="99"/>
      <c r="K47" s="99"/>
      <c r="L47" s="99"/>
      <c r="M47" s="99"/>
      <c r="N47" s="99"/>
      <c r="O47" s="99"/>
      <c r="P47" s="99"/>
      <c r="Q47" s="99"/>
      <c r="R47" s="99"/>
      <c r="S47" s="99"/>
      <c r="T47" s="99"/>
      <c r="U47" s="99"/>
      <c r="V47" s="99"/>
      <c r="W47" s="99"/>
      <c r="X47" s="99"/>
      <c r="Y47" s="202"/>
      <c r="Z47" s="202"/>
      <c r="AA47" s="202"/>
      <c r="AB47" s="100"/>
      <c r="AC47" s="92"/>
      <c r="AD47" s="93"/>
    </row>
    <row r="48" spans="1:30" ht="23.25" x14ac:dyDescent="0.25">
      <c r="A48" s="93"/>
      <c r="B48" s="92"/>
      <c r="C48" s="97"/>
      <c r="D48" s="118" t="s">
        <v>10</v>
      </c>
      <c r="E48" s="118"/>
      <c r="F48" s="196"/>
      <c r="G48" s="122" t="s">
        <v>161</v>
      </c>
      <c r="H48" s="123" t="s">
        <v>158</v>
      </c>
      <c r="I48" s="123" t="s">
        <v>157</v>
      </c>
      <c r="J48" s="197"/>
      <c r="K48" s="197"/>
      <c r="L48" s="197"/>
      <c r="M48" s="197"/>
      <c r="N48" s="197"/>
      <c r="O48" s="197"/>
      <c r="P48" s="197"/>
      <c r="Q48" s="197"/>
      <c r="R48" s="197"/>
      <c r="S48" s="197"/>
      <c r="T48" s="197"/>
      <c r="U48" s="123" t="s">
        <v>156</v>
      </c>
      <c r="V48" s="223"/>
      <c r="W48" s="222"/>
      <c r="X48" s="130" t="s">
        <v>298</v>
      </c>
      <c r="Y48" s="309"/>
      <c r="Z48" s="309"/>
      <c r="AA48" s="309"/>
      <c r="AB48" s="100"/>
      <c r="AC48" s="92"/>
      <c r="AD48" s="93"/>
    </row>
    <row r="49" spans="1:30" x14ac:dyDescent="0.25">
      <c r="A49" s="93"/>
      <c r="B49" s="92"/>
      <c r="C49" s="97"/>
      <c r="D49" s="99">
        <v>2</v>
      </c>
      <c r="E49" s="187" t="s">
        <v>1</v>
      </c>
      <c r="F49" s="192"/>
      <c r="G49" s="295" t="s">
        <v>135</v>
      </c>
      <c r="H49" s="293" t="s">
        <v>6</v>
      </c>
      <c r="I49" s="293">
        <v>0</v>
      </c>
      <c r="J49" s="188"/>
      <c r="K49" s="188"/>
      <c r="L49" s="188"/>
      <c r="M49" s="188"/>
      <c r="N49" s="188"/>
      <c r="O49" s="188"/>
      <c r="P49" s="188"/>
      <c r="Q49" s="188"/>
      <c r="R49" s="188"/>
      <c r="S49" s="188"/>
      <c r="T49" s="188"/>
      <c r="U49" s="284">
        <v>0</v>
      </c>
      <c r="V49" s="124"/>
      <c r="W49" s="188"/>
      <c r="X49" s="281">
        <v>0</v>
      </c>
      <c r="Y49" s="308">
        <f>ROUND((IF(FederalTaxableWage&lt;0,0,IF($G49="Yes",0,  ROUND( IF($H49="Single",(IF((FederalTaxableWage*26-$I49*'TAX TABLES'!$J$33)&lt;'TAX TABLES'!$C$12,0+$U49,  ((VLOOKUP((FederalTaxableWage*26-$I49*'TAX TABLES'!$J$33),'TAX TABLES'!$C$12:$J$18,5,TRUE)+VLOOKUP((FederalTaxableWage*26-$I49*'TAX TABLES'!$J$33),'TAX TABLES'!$C$12:$J$18,7,TRUE)*((FederalTaxableWage*26-$I49*'TAX TABLES'!$J$33)-VLOOKUP((FederalTaxableWage*26-$I49*'TAX TABLES'!$J$33),'TAX TABLES'!$C$12:$J$18,8,TRUE)))/26)+$U49)),  IF($H49="Married",(IF((FederalTaxableWage*26-$I49*'TAX TABLES'!$J$33)&lt;'TAX TABLES'!$C$25,0+$U49,  ((VLOOKUP((FederalTaxableWage*26-$I49*'TAX TABLES'!$J$33),'TAX TABLES'!$C$25:$J$31,5,TRUE)+VLOOKUP((FederalTaxableWage*26-$I49*'TAX TABLES'!$J$33),'TAX TABLES'!$C$25:$J$31,7,TRUE)*((FederalTaxableWage*26-$I49*'TAX TABLES'!$J$33)-VLOOKUP((FederalTaxableWage*26-$I49*'TAX TABLES'!$J$33),'TAX TABLES'!$C$25:$J$31,8,TRUE)))/26)+$U49)),0)),2)))+$X49),2)</f>
        <v>0</v>
      </c>
      <c r="Z49" s="308">
        <f>IF(VLOOKUP($E49,CYCLES!$E$4:$N$45, IF($V$5=1,2,IF($V$5=2,3,IF($V$5=3,4,IF($V$5=5,6,1)))),FALSE)="X",$Y49,0)</f>
        <v>0</v>
      </c>
      <c r="AA49" s="308">
        <f>IF(VLOOKUP($E49,PRIORITIES!$E$5:$H$46,4,FALSE)&gt;0,$Z49,0)</f>
        <v>0</v>
      </c>
      <c r="AB49" s="100"/>
      <c r="AC49" s="92"/>
      <c r="AD49" s="93"/>
    </row>
    <row r="50" spans="1:30" ht="15.75" thickBot="1" x14ac:dyDescent="0.3">
      <c r="A50" s="93"/>
      <c r="B50" s="92"/>
      <c r="C50" s="97"/>
      <c r="D50" s="99">
        <v>3</v>
      </c>
      <c r="E50" s="187" t="s">
        <v>2</v>
      </c>
      <c r="F50" s="192"/>
      <c r="G50" s="296" t="s">
        <v>135</v>
      </c>
      <c r="H50" s="125"/>
      <c r="I50" s="243"/>
      <c r="J50" s="104"/>
      <c r="K50" s="104"/>
      <c r="L50" s="104"/>
      <c r="M50" s="104"/>
      <c r="N50" s="104"/>
      <c r="O50" s="104"/>
      <c r="P50" s="104"/>
      <c r="Q50" s="104"/>
      <c r="R50" s="104"/>
      <c r="S50" s="104"/>
      <c r="T50" s="104"/>
      <c r="U50" s="285">
        <v>0</v>
      </c>
      <c r="V50" s="286">
        <v>2.7E-2</v>
      </c>
      <c r="W50" s="188"/>
      <c r="X50" s="281">
        <v>0</v>
      </c>
      <c r="Y50" s="308">
        <f>ROUND((IF(FederalTaxableWage&lt;0,0,IF($G50="Yes",0,ROUND(  (FederalTaxableWage*$V50+$U50),2)))+$X50),2)</f>
        <v>0</v>
      </c>
      <c r="Z50" s="308">
        <f>IF(VLOOKUP($E50,CYCLES!$E$4:$N$45, IF($V$5=1,2,IF($V$5=2,3,IF($V$5=3,4,IF($V$5=5,6,1)))),FALSE)="X",$Y50,0)</f>
        <v>0</v>
      </c>
      <c r="AA50" s="308">
        <f>IF(VLOOKUP($E50,PRIORITIES!$E$5:$H$46,4,FALSE)&gt;0,$Z50,0)</f>
        <v>0</v>
      </c>
      <c r="AB50" s="100"/>
      <c r="AC50" s="92"/>
      <c r="AD50" s="93"/>
    </row>
    <row r="51" spans="1:30" ht="15.75" thickBot="1" x14ac:dyDescent="0.3">
      <c r="A51" s="93"/>
      <c r="B51" s="92"/>
      <c r="C51" s="97"/>
      <c r="D51" s="99">
        <v>1</v>
      </c>
      <c r="E51" s="187" t="s">
        <v>3</v>
      </c>
      <c r="F51" s="192"/>
      <c r="G51" s="242" t="s">
        <v>168</v>
      </c>
      <c r="H51" s="174">
        <f>'TAX TABLES'!$F$55</f>
        <v>118500</v>
      </c>
      <c r="I51" s="244" t="s">
        <v>155</v>
      </c>
      <c r="J51" s="104"/>
      <c r="K51" s="304">
        <v>0</v>
      </c>
      <c r="L51" s="104"/>
      <c r="M51" s="104"/>
      <c r="N51" s="104"/>
      <c r="O51" s="104"/>
      <c r="P51" s="104"/>
      <c r="Q51" s="104"/>
      <c r="R51" s="104"/>
      <c r="S51" s="104"/>
      <c r="T51" s="104"/>
      <c r="U51" s="104"/>
      <c r="V51" s="175">
        <f>'TAX TABLES'!$H$55</f>
        <v>6.2E-2</v>
      </c>
      <c r="W51" s="188"/>
      <c r="X51" s="281">
        <v>0</v>
      </c>
      <c r="Y51" s="308">
        <f>ROUND( ((IF($K51&gt;=$H51,0,        MIN(FICATaxable,$H51-$K51)*$V51))+$X51),2)</f>
        <v>0</v>
      </c>
      <c r="Z51" s="308">
        <f>IF(VLOOKUP($E51,CYCLES!$E$4:$N$45, IF($V$5=1,2,IF($V$5=2,3,IF($V$5=3,4,IF($V$5=5,6,1)))),FALSE)="X",$Y51,0)</f>
        <v>0</v>
      </c>
      <c r="AA51" s="308">
        <f>IF(VLOOKUP($E51,PRIORITIES!$E$5:$H$46,4,FALSE)&gt;0,$Z51,0)</f>
        <v>0</v>
      </c>
      <c r="AB51" s="100"/>
      <c r="AC51" s="92"/>
      <c r="AD51" s="93"/>
    </row>
    <row r="52" spans="1:30" x14ac:dyDescent="0.25">
      <c r="A52" s="93"/>
      <c r="B52" s="92"/>
      <c r="C52" s="97"/>
      <c r="D52" s="99">
        <v>1</v>
      </c>
      <c r="E52" s="114" t="s">
        <v>4</v>
      </c>
      <c r="F52" s="99"/>
      <c r="G52" s="241" t="s">
        <v>169</v>
      </c>
      <c r="H52" s="233">
        <f>'TAX TABLES'!$F$57</f>
        <v>200000</v>
      </c>
      <c r="I52" s="188"/>
      <c r="J52" s="188"/>
      <c r="K52" s="188"/>
      <c r="L52" s="188"/>
      <c r="M52" s="188"/>
      <c r="N52" s="188"/>
      <c r="O52" s="188"/>
      <c r="P52" s="188"/>
      <c r="Q52" s="188"/>
      <c r="R52" s="188"/>
      <c r="S52" s="188"/>
      <c r="T52" s="188"/>
      <c r="U52" s="234" t="s">
        <v>154</v>
      </c>
      <c r="V52" s="235">
        <f>'TAX TABLES'!$H$57</f>
        <v>1.4500000000000001E-2</v>
      </c>
      <c r="W52" s="226"/>
      <c r="X52" s="281">
        <v>0</v>
      </c>
      <c r="Y52" s="107">
        <f>ROUND((  (IF($H$53&gt;=$H$52,0,        IF($H$53+FICATaxable&lt;$H$52,FICATaxable*$V$52,     ($H$52-$H$53)*$V$52+0)))    +
   (IF($H$53&gt;=$H$52,FICATaxable*$V$53,        IF($H$53+FICATaxable&lt;$H$52,0,    0+(FICATaxable-($H$52-$H$53))*$V$53)) )+$X52),2)</f>
        <v>0</v>
      </c>
      <c r="Z52" s="107">
        <f>IF(VLOOKUP($E52,CYCLES!$E$4:$N$45, IF($V$5=1,2,IF($V$5=2,3,IF($V$5=3,4,IF($V$5=5,6,1)))),FALSE)="X",$Y52,0)</f>
        <v>0</v>
      </c>
      <c r="AA52" s="107">
        <f>IF(VLOOKUP($E52,PRIORITIES!$E$5:$H$46,4,FALSE)&gt;0,$Z52,0)</f>
        <v>0</v>
      </c>
      <c r="AB52" s="100"/>
      <c r="AC52" s="92"/>
      <c r="AD52" s="93"/>
    </row>
    <row r="53" spans="1:30" outlineLevel="1" x14ac:dyDescent="0.25">
      <c r="A53" s="93"/>
      <c r="B53" s="92"/>
      <c r="C53" s="97"/>
      <c r="D53" s="99"/>
      <c r="E53" s="114"/>
      <c r="F53" s="99"/>
      <c r="G53" s="241" t="s">
        <v>155</v>
      </c>
      <c r="H53" s="297">
        <v>0</v>
      </c>
      <c r="I53" s="99"/>
      <c r="J53" s="99"/>
      <c r="K53" s="99"/>
      <c r="L53" s="99"/>
      <c r="M53" s="99"/>
      <c r="N53" s="99"/>
      <c r="O53" s="99"/>
      <c r="P53" s="99"/>
      <c r="Q53" s="99"/>
      <c r="R53" s="99"/>
      <c r="S53" s="99"/>
      <c r="T53" s="99"/>
      <c r="U53" s="121" t="s">
        <v>153</v>
      </c>
      <c r="V53" s="176">
        <f>'TAX TABLES'!$H$58</f>
        <v>2.35E-2</v>
      </c>
      <c r="W53" s="99"/>
      <c r="X53" s="100"/>
      <c r="Y53" s="224"/>
      <c r="Z53" s="224"/>
      <c r="AA53" s="225"/>
      <c r="AB53" s="100"/>
      <c r="AC53" s="92"/>
      <c r="AD53" s="93"/>
    </row>
    <row r="54" spans="1:30" x14ac:dyDescent="0.25">
      <c r="A54" s="93"/>
      <c r="B54" s="92"/>
      <c r="C54" s="97"/>
      <c r="D54" s="99"/>
      <c r="E54" s="208" t="s">
        <v>11</v>
      </c>
      <c r="F54" s="209"/>
      <c r="G54" s="209"/>
      <c r="H54" s="209"/>
      <c r="I54" s="209"/>
      <c r="J54" s="209"/>
      <c r="K54" s="209"/>
      <c r="L54" s="209"/>
      <c r="M54" s="209"/>
      <c r="N54" s="209"/>
      <c r="O54" s="209"/>
      <c r="P54" s="209"/>
      <c r="Q54" s="209"/>
      <c r="R54" s="209"/>
      <c r="S54" s="209"/>
      <c r="T54" s="209"/>
      <c r="U54" s="209"/>
      <c r="V54" s="209"/>
      <c r="W54" s="209"/>
      <c r="X54" s="209"/>
      <c r="Y54" s="210">
        <f>SUM(Y47:Y53)</f>
        <v>0</v>
      </c>
      <c r="Z54" s="210">
        <f>SUM(Z47:Z53)</f>
        <v>0</v>
      </c>
      <c r="AA54" s="210">
        <f>SUM(AA47:AA53)</f>
        <v>0</v>
      </c>
      <c r="AB54" s="100"/>
      <c r="AC54" s="92"/>
      <c r="AD54" s="93"/>
    </row>
    <row r="55" spans="1:30" x14ac:dyDescent="0.25">
      <c r="A55" s="93"/>
      <c r="B55" s="92"/>
      <c r="C55" s="97"/>
      <c r="D55" s="99"/>
      <c r="E55" s="102"/>
      <c r="F55" s="99"/>
      <c r="G55" s="99"/>
      <c r="H55" s="99"/>
      <c r="I55" s="99"/>
      <c r="J55" s="99"/>
      <c r="K55" s="99"/>
      <c r="L55" s="99"/>
      <c r="M55" s="99"/>
      <c r="N55" s="99"/>
      <c r="O55" s="99"/>
      <c r="P55" s="99"/>
      <c r="Q55" s="99"/>
      <c r="R55" s="99"/>
      <c r="S55" s="99"/>
      <c r="T55" s="99"/>
      <c r="U55" s="99"/>
      <c r="V55" s="106"/>
      <c r="W55" s="99"/>
      <c r="X55" s="99"/>
      <c r="Y55" s="202"/>
      <c r="Z55" s="202"/>
      <c r="AA55" s="202"/>
      <c r="AB55" s="100"/>
      <c r="AC55" s="92"/>
      <c r="AD55" s="93"/>
    </row>
    <row r="56" spans="1:30" x14ac:dyDescent="0.25">
      <c r="A56" s="93"/>
      <c r="B56" s="92"/>
      <c r="C56" s="97"/>
      <c r="D56" s="118" t="s">
        <v>149</v>
      </c>
      <c r="E56" s="119"/>
      <c r="F56" s="130"/>
      <c r="G56" s="130"/>
      <c r="H56" s="130"/>
      <c r="I56" s="130"/>
      <c r="J56" s="130"/>
      <c r="K56" s="130"/>
      <c r="L56" s="130"/>
      <c r="M56" s="130"/>
      <c r="N56" s="130"/>
      <c r="O56" s="130"/>
      <c r="P56" s="130"/>
      <c r="Q56" s="130"/>
      <c r="R56" s="130"/>
      <c r="S56" s="130"/>
      <c r="T56" s="130"/>
      <c r="U56" s="130"/>
      <c r="V56" s="130"/>
      <c r="W56" s="116"/>
      <c r="X56" s="196"/>
      <c r="Y56" s="309"/>
      <c r="Z56" s="309"/>
      <c r="AA56" s="309"/>
      <c r="AB56" s="100"/>
      <c r="AC56" s="92"/>
      <c r="AD56" s="93"/>
    </row>
    <row r="57" spans="1:30" ht="39.75" customHeight="1" x14ac:dyDescent="0.25">
      <c r="A57" s="93"/>
      <c r="B57" s="92"/>
      <c r="C57" s="97"/>
      <c r="D57" s="101"/>
      <c r="E57" s="113"/>
      <c r="F57" s="108"/>
      <c r="G57" s="108"/>
      <c r="H57" s="130" t="s">
        <v>237</v>
      </c>
      <c r="I57" s="130" t="s">
        <v>234</v>
      </c>
      <c r="J57" s="236" t="s">
        <v>289</v>
      </c>
      <c r="K57" s="236" t="s">
        <v>288</v>
      </c>
      <c r="L57" s="236" t="s">
        <v>303</v>
      </c>
      <c r="M57" s="236" t="s">
        <v>290</v>
      </c>
      <c r="N57" s="236" t="str">
        <f>"4. Federal Minimum Wage "&amp;DOLLAR('TAX TABLES'!$E$66)&amp;" x 60Hrs"</f>
        <v>4. Federal Minimum Wage $7.25 x 60Hrs</v>
      </c>
      <c r="O57" s="236" t="str">
        <f>"5. Disposable less Exempt Amount (Non Exempt Earnings)"</f>
        <v>5. Disposable less Exempt Amount (Non Exempt Earnings)</v>
      </c>
      <c r="P57" s="236" t="s">
        <v>291</v>
      </c>
      <c r="Q57" s="236" t="s">
        <v>293</v>
      </c>
      <c r="R57" s="236" t="s">
        <v>294</v>
      </c>
      <c r="S57" s="236" t="s">
        <v>295</v>
      </c>
      <c r="T57" s="236" t="s">
        <v>296</v>
      </c>
      <c r="U57" s="236" t="s">
        <v>304</v>
      </c>
      <c r="V57" s="236" t="s">
        <v>201</v>
      </c>
      <c r="W57" s="236" t="s">
        <v>287</v>
      </c>
      <c r="X57" s="130" t="s">
        <v>298</v>
      </c>
      <c r="Y57" s="311"/>
      <c r="Z57" s="311"/>
      <c r="AA57" s="311"/>
      <c r="AB57" s="100"/>
      <c r="AC57" s="92"/>
      <c r="AD57" s="93"/>
    </row>
    <row r="58" spans="1:30" x14ac:dyDescent="0.25">
      <c r="A58" s="93"/>
      <c r="B58" s="92"/>
      <c r="C58" s="97"/>
      <c r="D58" s="171">
        <v>5</v>
      </c>
      <c r="E58" s="191" t="s">
        <v>247</v>
      </c>
      <c r="F58" s="188"/>
      <c r="G58" s="188"/>
      <c r="H58" s="188"/>
      <c r="I58" s="188"/>
      <c r="J58" s="188"/>
      <c r="K58" s="188"/>
      <c r="L58" s="188"/>
      <c r="M58" s="188"/>
      <c r="N58" s="188"/>
      <c r="O58" s="188"/>
      <c r="P58" s="188"/>
      <c r="Q58" s="188"/>
      <c r="R58" s="188"/>
      <c r="S58" s="188"/>
      <c r="T58" s="188"/>
      <c r="U58" s="188"/>
      <c r="V58" s="188"/>
      <c r="W58" s="195"/>
      <c r="X58" s="281">
        <v>0</v>
      </c>
      <c r="Y58" s="307">
        <f>ROUND($X58,2)</f>
        <v>0</v>
      </c>
      <c r="Z58" s="308">
        <f>IF(VLOOKUP($E58,CYCLES!$E$4:$N$45, IF($V$5=1,2,IF($V$5=2,3,IF($V$5=3,4,IF($V$5=5,6,1)))),FALSE)="X",$Y58,0)</f>
        <v>0</v>
      </c>
      <c r="AA58" s="308">
        <f>IF(VLOOKUP($E58,PRIORITIES!$E$5:$H$46,4,FALSE)&gt;0,$Z58,0)</f>
        <v>0</v>
      </c>
      <c r="AB58" s="100"/>
      <c r="AC58" s="92"/>
      <c r="AD58" s="93"/>
    </row>
    <row r="59" spans="1:30" x14ac:dyDescent="0.25">
      <c r="A59" s="93"/>
      <c r="B59" s="92"/>
      <c r="C59" s="97"/>
      <c r="D59" s="171">
        <v>5</v>
      </c>
      <c r="E59" s="191" t="s">
        <v>248</v>
      </c>
      <c r="F59" s="188"/>
      <c r="G59" s="188"/>
      <c r="H59" s="99"/>
      <c r="I59" s="99"/>
      <c r="J59" s="188"/>
      <c r="K59" s="188"/>
      <c r="L59" s="188"/>
      <c r="M59" s="188"/>
      <c r="N59" s="188"/>
      <c r="O59" s="188"/>
      <c r="P59" s="188"/>
      <c r="Q59" s="188"/>
      <c r="R59" s="188"/>
      <c r="S59" s="188"/>
      <c r="T59" s="188"/>
      <c r="U59" s="199"/>
      <c r="V59" s="199"/>
      <c r="W59" s="195"/>
      <c r="X59" s="281">
        <v>0</v>
      </c>
      <c r="Y59" s="307">
        <f>ROUND($X59,2)</f>
        <v>0</v>
      </c>
      <c r="Z59" s="308">
        <f>IF(VLOOKUP($E59,CYCLES!$E$4:$N$45, IF($V$5=1,2,IF($V$5=2,3,IF($V$5=3,4,IF($V$5=5,6,1)))),FALSE)="X",$Y59,0)</f>
        <v>0</v>
      </c>
      <c r="AA59" s="308">
        <f>IF(VLOOKUP($E59,PRIORITIES!$E$5:$H$46,4,FALSE)&gt;0,$Z59,0)</f>
        <v>0</v>
      </c>
      <c r="AB59" s="100"/>
      <c r="AC59" s="92"/>
      <c r="AD59" s="93"/>
    </row>
    <row r="60" spans="1:30" ht="18" customHeight="1" x14ac:dyDescent="0.25">
      <c r="A60" s="93"/>
      <c r="B60" s="92"/>
      <c r="C60" s="97"/>
      <c r="D60" s="171">
        <v>1</v>
      </c>
      <c r="E60" s="191" t="s">
        <v>286</v>
      </c>
      <c r="F60" s="193"/>
      <c r="G60" s="193"/>
      <c r="H60" s="228"/>
      <c r="I60" s="228"/>
      <c r="J60" s="237">
        <f t="shared" ref="J60:J66" si="7">$AA$31</f>
        <v>0</v>
      </c>
      <c r="K60" s="237">
        <f t="shared" ref="K60:K66" si="8">DisposableIncomeBKSOCG</f>
        <v>0</v>
      </c>
      <c r="L60" s="238">
        <v>0.6</v>
      </c>
      <c r="M60" s="237">
        <f>ROUND($K60*$L60,2)</f>
        <v>0</v>
      </c>
      <c r="N60" s="237">
        <f>ROUND((-'TAX TABLES'!$E$66*60),2)</f>
        <v>-435</v>
      </c>
      <c r="O60" s="237">
        <f>IF(-$N60&gt;$K60,0,$K60+$N60)</f>
        <v>0</v>
      </c>
      <c r="P60" s="237">
        <f>IF( AND($M60&gt;0,$O60&gt;0),MIN($M60,$O60),0)</f>
        <v>0</v>
      </c>
      <c r="Q60" s="239"/>
      <c r="R60" s="237">
        <f>IF($Q60&gt;$P60,0,$P60-$Q60)</f>
        <v>0</v>
      </c>
      <c r="S60" s="237">
        <f t="shared" ref="S60:S66" si="9">ROUND((                   IF(    ($V60&lt;$L60),      ($K60*$V60),    0)                         ),2)</f>
        <v>0</v>
      </c>
      <c r="T60" s="237">
        <f t="shared" ref="T60:T66" si="10" xml:space="preserve">  IF(  AND($V60=0,$W60=0),  0,   MIN( $R60,  IF($S60&gt;0,$S60,$R60),  IF($U60&gt;0,$U60,$R60),  IF($W60&gt;0,$W60,$R60)))</f>
        <v>0</v>
      </c>
      <c r="U60" s="229"/>
      <c r="V60" s="288">
        <v>0</v>
      </c>
      <c r="W60" s="287">
        <v>0</v>
      </c>
      <c r="X60" s="281">
        <v>0</v>
      </c>
      <c r="Y60" s="307">
        <f>ROUND((T60+$X60),2)</f>
        <v>0</v>
      </c>
      <c r="Z60" s="308">
        <f>IF(VLOOKUP($E60,CYCLES!$E$4:$N$45, IF($V$5=1,2,IF($V$5=2,3,IF($V$5=3,4,IF($V$5=5,6,1)))),FALSE)="X",$Y60,0)</f>
        <v>0</v>
      </c>
      <c r="AA60" s="308">
        <f>IF(VLOOKUP($E60,PRIORITIES!$E$5:$H$46,4,FALSE)&gt;0,$Z60,0)</f>
        <v>0</v>
      </c>
      <c r="AB60" s="100"/>
      <c r="AC60" s="92"/>
      <c r="AD60" s="93"/>
    </row>
    <row r="61" spans="1:30" ht="18" customHeight="1" x14ac:dyDescent="0.25">
      <c r="A61" s="93"/>
      <c r="B61" s="92"/>
      <c r="C61" s="97"/>
      <c r="D61" s="171">
        <v>2</v>
      </c>
      <c r="E61" s="191" t="s">
        <v>194</v>
      </c>
      <c r="F61" s="193"/>
      <c r="G61" s="193"/>
      <c r="H61" s="160"/>
      <c r="I61" s="319" t="s">
        <v>135</v>
      </c>
      <c r="J61" s="237">
        <f t="shared" si="7"/>
        <v>0</v>
      </c>
      <c r="K61" s="237">
        <f t="shared" si="8"/>
        <v>0</v>
      </c>
      <c r="L61" s="240">
        <f t="shared" ref="L61:L66" si="11">IF( AND( OR($H61="No",ISBLANK($H61)),   OR($I61="No",ISBLANK($I61))   ),0.6,
 IF( AND( OR($H61="No",ISBLANK($H61)),   $I61="Yes" ),0.5,
IF( AND( $H61="Yes",   OR($I61="No",ISBLANK($I61))   ),0.65,
 IF( AND( $H61="Yes", $I61="Yes" ),0.55,
0.6))))</f>
        <v>0.6</v>
      </c>
      <c r="M61" s="237">
        <f t="shared" ref="M61:M70" si="12">ROUND($K61*$L61,2)</f>
        <v>0</v>
      </c>
      <c r="N61" s="237">
        <f>ROUND((-'TAX TABLES'!$E$66*60),2)</f>
        <v>-435</v>
      </c>
      <c r="O61" s="237">
        <f t="shared" ref="O61:O70" si="13">IF(-$N61&gt;$K61,0,$K61+$N61)</f>
        <v>0</v>
      </c>
      <c r="P61" s="237">
        <f t="shared" ref="P61:P66" si="14">IF( AND($M61&gt;0,$O61&gt;0),MIN($M61,$O61),0)</f>
        <v>0</v>
      </c>
      <c r="Q61" s="237">
        <f>SUM($Y$58:$Y$60)</f>
        <v>0</v>
      </c>
      <c r="R61" s="237">
        <f t="shared" ref="R61:R66" si="15">IF($Q61&gt;$P61,0,$P61-$Q61)</f>
        <v>0</v>
      </c>
      <c r="S61" s="237">
        <f t="shared" si="9"/>
        <v>0</v>
      </c>
      <c r="T61" s="237">
        <f xml:space="preserve">  IF(  AND($V61=0,$W61=0),  0,   MIN( $R61,  IF($S61&gt;0,$S61,$R61),  IF($U61&gt;0,$U61,$R61),  IF($W61&gt;0,$W61,$R61)))</f>
        <v>0</v>
      </c>
      <c r="U61" s="287">
        <v>0</v>
      </c>
      <c r="V61" s="288">
        <v>0</v>
      </c>
      <c r="W61" s="287">
        <v>0</v>
      </c>
      <c r="X61" s="289">
        <v>0</v>
      </c>
      <c r="Y61" s="307">
        <f>ROUND(($T61+$X61),2)</f>
        <v>0</v>
      </c>
      <c r="Z61" s="308">
        <f>IF(VLOOKUP($E61,CYCLES!$E$4:$N$45, IF($V$5=1,2,IF($V$5=2,3,IF($V$5=3,4,IF($V$5=5,6,1)))),FALSE)="X",$Y61,0)</f>
        <v>0</v>
      </c>
      <c r="AA61" s="308">
        <f>IF(VLOOKUP($E61,PRIORITIES!$E$5:$H$46,4,FALSE)&gt;0,$Z61,0)</f>
        <v>0</v>
      </c>
      <c r="AB61" s="100"/>
      <c r="AC61" s="92"/>
      <c r="AD61" s="93"/>
    </row>
    <row r="62" spans="1:30" ht="18" customHeight="1" x14ac:dyDescent="0.25">
      <c r="A62" s="93"/>
      <c r="B62" s="92"/>
      <c r="C62" s="97"/>
      <c r="D62" s="171">
        <v>3</v>
      </c>
      <c r="E62" s="191" t="s">
        <v>195</v>
      </c>
      <c r="F62" s="188"/>
      <c r="G62" s="188"/>
      <c r="H62" s="161"/>
      <c r="I62" s="294" t="s">
        <v>135</v>
      </c>
      <c r="J62" s="237">
        <f t="shared" si="7"/>
        <v>0</v>
      </c>
      <c r="K62" s="237">
        <f t="shared" si="8"/>
        <v>0</v>
      </c>
      <c r="L62" s="240">
        <f t="shared" si="11"/>
        <v>0.6</v>
      </c>
      <c r="M62" s="237">
        <f t="shared" si="12"/>
        <v>0</v>
      </c>
      <c r="N62" s="237">
        <f>ROUND((-'TAX TABLES'!$E$66*60),2)</f>
        <v>-435</v>
      </c>
      <c r="O62" s="237">
        <f t="shared" si="13"/>
        <v>0</v>
      </c>
      <c r="P62" s="237">
        <f t="shared" si="14"/>
        <v>0</v>
      </c>
      <c r="Q62" s="237">
        <f>SUM($Y$58:$Y$61)</f>
        <v>0</v>
      </c>
      <c r="R62" s="237">
        <f t="shared" si="15"/>
        <v>0</v>
      </c>
      <c r="S62" s="237">
        <f t="shared" si="9"/>
        <v>0</v>
      </c>
      <c r="T62" s="237">
        <f t="shared" si="10"/>
        <v>0</v>
      </c>
      <c r="U62" s="287">
        <v>0</v>
      </c>
      <c r="V62" s="288">
        <v>0</v>
      </c>
      <c r="W62" s="287">
        <v>0</v>
      </c>
      <c r="X62" s="289">
        <v>0</v>
      </c>
      <c r="Y62" s="307">
        <f t="shared" ref="Y62:Y66" si="16">ROUND(($T62+$X62),2)</f>
        <v>0</v>
      </c>
      <c r="Z62" s="308">
        <f>IF(VLOOKUP($E62,CYCLES!$E$4:$N$45, IF($V$5=1,2,IF($V$5=2,3,IF($V$5=3,4,IF($V$5=5,6,1)))),FALSE)="X",$Y62,0)</f>
        <v>0</v>
      </c>
      <c r="AA62" s="308">
        <f>IF(VLOOKUP($E62,PRIORITIES!$E$5:$H$46,4,FALSE)&gt;0,$Z62,0)</f>
        <v>0</v>
      </c>
      <c r="AB62" s="100"/>
      <c r="AC62" s="92"/>
      <c r="AD62" s="93"/>
    </row>
    <row r="63" spans="1:30" ht="18" customHeight="1" outlineLevel="1" x14ac:dyDescent="0.25">
      <c r="A63" s="93"/>
      <c r="B63" s="92"/>
      <c r="C63" s="97"/>
      <c r="D63" s="171">
        <v>3</v>
      </c>
      <c r="E63" s="191" t="s">
        <v>239</v>
      </c>
      <c r="F63" s="188"/>
      <c r="G63" s="188"/>
      <c r="H63" s="161"/>
      <c r="I63" s="294" t="s">
        <v>135</v>
      </c>
      <c r="J63" s="237">
        <f t="shared" si="7"/>
        <v>0</v>
      </c>
      <c r="K63" s="237">
        <f t="shared" si="8"/>
        <v>0</v>
      </c>
      <c r="L63" s="240">
        <f t="shared" si="11"/>
        <v>0.6</v>
      </c>
      <c r="M63" s="237">
        <f t="shared" si="12"/>
        <v>0</v>
      </c>
      <c r="N63" s="237">
        <f>ROUND((-'TAX TABLES'!$E$66*60),2)</f>
        <v>-435</v>
      </c>
      <c r="O63" s="237">
        <f t="shared" si="13"/>
        <v>0</v>
      </c>
      <c r="P63" s="237">
        <f t="shared" si="14"/>
        <v>0</v>
      </c>
      <c r="Q63" s="237">
        <f>SUM($Y$58:$Y$61)</f>
        <v>0</v>
      </c>
      <c r="R63" s="237">
        <f t="shared" si="15"/>
        <v>0</v>
      </c>
      <c r="S63" s="237">
        <f t="shared" si="9"/>
        <v>0</v>
      </c>
      <c r="T63" s="237">
        <f t="shared" si="10"/>
        <v>0</v>
      </c>
      <c r="U63" s="287">
        <v>0</v>
      </c>
      <c r="V63" s="288">
        <v>0</v>
      </c>
      <c r="W63" s="287">
        <v>0</v>
      </c>
      <c r="X63" s="289">
        <v>0</v>
      </c>
      <c r="Y63" s="307">
        <f t="shared" si="16"/>
        <v>0</v>
      </c>
      <c r="Z63" s="308">
        <f>IF(VLOOKUP($E63,CYCLES!$E$4:$N$45, IF($V$5=1,2,IF($V$5=2,3,IF($V$5=3,4,IF($V$5=5,6,1)))),FALSE)="X",$Y63,0)</f>
        <v>0</v>
      </c>
      <c r="AA63" s="308">
        <f>IF(VLOOKUP($E63,PRIORITIES!$E$5:$H$46,4,FALSE)&gt;0,$Z63,0)</f>
        <v>0</v>
      </c>
      <c r="AB63" s="100"/>
      <c r="AC63" s="92"/>
      <c r="AD63" s="93"/>
    </row>
    <row r="64" spans="1:30" ht="18" customHeight="1" outlineLevel="1" x14ac:dyDescent="0.25">
      <c r="A64" s="93"/>
      <c r="B64" s="92"/>
      <c r="C64" s="97"/>
      <c r="D64" s="171">
        <v>4</v>
      </c>
      <c r="E64" s="191" t="s">
        <v>235</v>
      </c>
      <c r="F64" s="188"/>
      <c r="G64" s="188"/>
      <c r="H64" s="294" t="s">
        <v>135</v>
      </c>
      <c r="I64" s="294" t="s">
        <v>135</v>
      </c>
      <c r="J64" s="237">
        <f t="shared" si="7"/>
        <v>0</v>
      </c>
      <c r="K64" s="237">
        <f t="shared" si="8"/>
        <v>0</v>
      </c>
      <c r="L64" s="240">
        <f t="shared" si="11"/>
        <v>0.6</v>
      </c>
      <c r="M64" s="237">
        <f t="shared" si="12"/>
        <v>0</v>
      </c>
      <c r="N64" s="237">
        <f>ROUND((-'TAX TABLES'!$E$66*60),2)</f>
        <v>-435</v>
      </c>
      <c r="O64" s="237">
        <f t="shared" si="13"/>
        <v>0</v>
      </c>
      <c r="P64" s="237">
        <f>IF( AND($M64&gt;0,$O64&gt;0),MIN($M64,$O64),0)</f>
        <v>0</v>
      </c>
      <c r="Q64" s="237">
        <f>SUM($Y$58:$Y$63)</f>
        <v>0</v>
      </c>
      <c r="R64" s="237">
        <f t="shared" si="15"/>
        <v>0</v>
      </c>
      <c r="S64" s="237">
        <f t="shared" si="9"/>
        <v>0</v>
      </c>
      <c r="T64" s="237">
        <f xml:space="preserve">  IF(  AND($V64=0,$W64=0),  0,   MIN( $R64,  IF($S64&gt;0,$S64,$R64),  IF($U64&gt;0,$U64,$R64),  IF($W64&gt;0,$W64,$R64)))</f>
        <v>0</v>
      </c>
      <c r="U64" s="287">
        <v>0</v>
      </c>
      <c r="V64" s="288">
        <v>0</v>
      </c>
      <c r="W64" s="287">
        <v>0</v>
      </c>
      <c r="X64" s="289">
        <v>0</v>
      </c>
      <c r="Y64" s="307">
        <f t="shared" si="16"/>
        <v>0</v>
      </c>
      <c r="Z64" s="308">
        <f>IF(VLOOKUP($E64,CYCLES!$E$4:$N$45, IF($V$5=1,2,IF($V$5=2,3,IF($V$5=3,4,IF($V$5=5,6,1)))),FALSE)="X",$Y64,0)</f>
        <v>0</v>
      </c>
      <c r="AA64" s="308">
        <f>IF(VLOOKUP($E64,PRIORITIES!$E$5:$H$46,4,FALSE)&gt;0,$Z64,0)</f>
        <v>0</v>
      </c>
      <c r="AB64" s="100"/>
      <c r="AC64" s="92"/>
      <c r="AD64" s="93"/>
    </row>
    <row r="65" spans="1:30" ht="18" customHeight="1" outlineLevel="1" x14ac:dyDescent="0.25">
      <c r="A65" s="93"/>
      <c r="B65" s="92"/>
      <c r="C65" s="97"/>
      <c r="D65" s="171">
        <v>5</v>
      </c>
      <c r="E65" s="191" t="s">
        <v>236</v>
      </c>
      <c r="F65" s="188"/>
      <c r="G65" s="188"/>
      <c r="H65" s="294" t="s">
        <v>135</v>
      </c>
      <c r="I65" s="294" t="s">
        <v>135</v>
      </c>
      <c r="J65" s="237">
        <f t="shared" si="7"/>
        <v>0</v>
      </c>
      <c r="K65" s="237">
        <f t="shared" si="8"/>
        <v>0</v>
      </c>
      <c r="L65" s="240">
        <f t="shared" si="11"/>
        <v>0.6</v>
      </c>
      <c r="M65" s="237">
        <f t="shared" si="12"/>
        <v>0</v>
      </c>
      <c r="N65" s="237">
        <f>ROUND((-'TAX TABLES'!$E$66*60),2)</f>
        <v>-435</v>
      </c>
      <c r="O65" s="237">
        <f t="shared" si="13"/>
        <v>0</v>
      </c>
      <c r="P65" s="237">
        <f t="shared" si="14"/>
        <v>0</v>
      </c>
      <c r="Q65" s="237">
        <f>SUM($Y$58:$Y$64)</f>
        <v>0</v>
      </c>
      <c r="R65" s="237">
        <f t="shared" si="15"/>
        <v>0</v>
      </c>
      <c r="S65" s="237">
        <f t="shared" si="9"/>
        <v>0</v>
      </c>
      <c r="T65" s="237">
        <f t="shared" si="10"/>
        <v>0</v>
      </c>
      <c r="U65" s="287">
        <v>0</v>
      </c>
      <c r="V65" s="288">
        <v>0</v>
      </c>
      <c r="W65" s="287">
        <v>0</v>
      </c>
      <c r="X65" s="289">
        <v>0</v>
      </c>
      <c r="Y65" s="307">
        <f t="shared" si="16"/>
        <v>0</v>
      </c>
      <c r="Z65" s="308">
        <f>IF(VLOOKUP($E65,CYCLES!$E$4:$N$45, IF($V$5=1,2,IF($V$5=2,3,IF($V$5=3,4,IF($V$5=5,6,1)))),FALSE)="X",$Y65,0)</f>
        <v>0</v>
      </c>
      <c r="AA65" s="308">
        <f>IF(VLOOKUP($E65,PRIORITIES!$E$5:$H$46,4,FALSE)&gt;0,$Z65,0)</f>
        <v>0</v>
      </c>
      <c r="AB65" s="100"/>
      <c r="AC65" s="92"/>
      <c r="AD65" s="93"/>
    </row>
    <row r="66" spans="1:30" ht="18" customHeight="1" outlineLevel="1" x14ac:dyDescent="0.25">
      <c r="A66" s="93"/>
      <c r="B66" s="92"/>
      <c r="C66" s="97"/>
      <c r="D66" s="171">
        <v>5</v>
      </c>
      <c r="E66" s="201" t="s">
        <v>240</v>
      </c>
      <c r="F66" s="199"/>
      <c r="G66" s="199"/>
      <c r="H66" s="294" t="s">
        <v>135</v>
      </c>
      <c r="I66" s="294" t="s">
        <v>135</v>
      </c>
      <c r="J66" s="237">
        <f t="shared" si="7"/>
        <v>0</v>
      </c>
      <c r="K66" s="237">
        <f t="shared" si="8"/>
        <v>0</v>
      </c>
      <c r="L66" s="240">
        <f t="shared" si="11"/>
        <v>0.6</v>
      </c>
      <c r="M66" s="237">
        <f t="shared" si="12"/>
        <v>0</v>
      </c>
      <c r="N66" s="237">
        <f>ROUND((-'TAX TABLES'!$E$66*60),2)</f>
        <v>-435</v>
      </c>
      <c r="O66" s="237">
        <f t="shared" si="13"/>
        <v>0</v>
      </c>
      <c r="P66" s="237">
        <f t="shared" si="14"/>
        <v>0</v>
      </c>
      <c r="Q66" s="237">
        <f>SUM($Y$58:$Y$64)</f>
        <v>0</v>
      </c>
      <c r="R66" s="237">
        <f t="shared" si="15"/>
        <v>0</v>
      </c>
      <c r="S66" s="237">
        <f t="shared" si="9"/>
        <v>0</v>
      </c>
      <c r="T66" s="237">
        <f t="shared" si="10"/>
        <v>0</v>
      </c>
      <c r="U66" s="287">
        <v>0</v>
      </c>
      <c r="V66" s="288">
        <v>0</v>
      </c>
      <c r="W66" s="287">
        <v>0</v>
      </c>
      <c r="X66" s="289">
        <v>0</v>
      </c>
      <c r="Y66" s="299">
        <f t="shared" si="16"/>
        <v>0</v>
      </c>
      <c r="Z66" s="301">
        <f>IF(VLOOKUP($E66,CYCLES!$E$4:$N$45, IF($V$5=1,2,IF($V$5=2,3,IF($V$5=3,4,IF($V$5=5,6,1)))),FALSE)="X",$Y66,0)</f>
        <v>0</v>
      </c>
      <c r="AA66" s="301">
        <f>IF(VLOOKUP($E66,PRIORITIES!$E$5:$H$46,4,FALSE)&gt;0,$Z66,0)</f>
        <v>0</v>
      </c>
      <c r="AB66" s="100"/>
      <c r="AC66" s="92"/>
      <c r="AD66" s="93"/>
    </row>
    <row r="67" spans="1:30" ht="40.5" customHeight="1" x14ac:dyDescent="0.25">
      <c r="A67" s="93"/>
      <c r="B67" s="92"/>
      <c r="C67" s="97"/>
      <c r="D67" s="101"/>
      <c r="E67" s="113"/>
      <c r="F67" s="130" t="s">
        <v>226</v>
      </c>
      <c r="G67" s="130" t="s">
        <v>199</v>
      </c>
      <c r="H67" s="130" t="s">
        <v>200</v>
      </c>
      <c r="I67" s="158" t="s">
        <v>233</v>
      </c>
      <c r="J67" s="236" t="s">
        <v>289</v>
      </c>
      <c r="K67" s="236" t="s">
        <v>288</v>
      </c>
      <c r="L67" s="236" t="s">
        <v>303</v>
      </c>
      <c r="M67" s="236" t="s">
        <v>290</v>
      </c>
      <c r="N67" s="236" t="s">
        <v>292</v>
      </c>
      <c r="O67" s="236" t="str">
        <f>"5. Disposable less Exempt Amount (Non Exempt Earnings)"</f>
        <v>5. Disposable less Exempt Amount (Non Exempt Earnings)</v>
      </c>
      <c r="P67" s="236" t="s">
        <v>291</v>
      </c>
      <c r="Q67" s="236" t="s">
        <v>293</v>
      </c>
      <c r="R67" s="236" t="s">
        <v>294</v>
      </c>
      <c r="S67" s="236" t="s">
        <v>295</v>
      </c>
      <c r="T67" s="236" t="s">
        <v>296</v>
      </c>
      <c r="U67" s="236" t="s">
        <v>304</v>
      </c>
      <c r="V67" s="236" t="s">
        <v>201</v>
      </c>
      <c r="W67" s="236" t="s">
        <v>287</v>
      </c>
      <c r="X67" s="130" t="s">
        <v>298</v>
      </c>
      <c r="Y67" s="309"/>
      <c r="Z67" s="309"/>
      <c r="AA67" s="309"/>
      <c r="AB67" s="100"/>
      <c r="AC67" s="92"/>
      <c r="AD67" s="93"/>
    </row>
    <row r="68" spans="1:30" ht="24" customHeight="1" x14ac:dyDescent="0.25">
      <c r="A68" s="93"/>
      <c r="B68" s="92"/>
      <c r="C68" s="97"/>
      <c r="D68" s="171">
        <v>6</v>
      </c>
      <c r="E68" s="191" t="s">
        <v>241</v>
      </c>
      <c r="F68" s="291">
        <v>2015</v>
      </c>
      <c r="G68" s="292" t="s">
        <v>6</v>
      </c>
      <c r="H68" s="293">
        <v>1</v>
      </c>
      <c r="I68" s="293">
        <v>0</v>
      </c>
      <c r="J68" s="237">
        <f>$AA$31</f>
        <v>0</v>
      </c>
      <c r="K68" s="237">
        <f>DisposableIncomeTaxLevy</f>
        <v>0</v>
      </c>
      <c r="L68" s="238">
        <v>1</v>
      </c>
      <c r="M68" s="237">
        <f t="shared" si="12"/>
        <v>0</v>
      </c>
      <c r="N68" s="237">
        <f>-('LEVY TABLES'!$B$37+'LEVY TABLES'!$B$38*$H$68)-(IF($I$68=1,'LEVY TABLES'!$B$39,IF($I$68=2,'LEVY TABLES'!$B$40,IF($I$68=3,'LEVY TABLES'!$B$41,IF($I$68&gt;3,'LEVY TABLES'!$B$42,0)))))</f>
        <v>-396.15</v>
      </c>
      <c r="O68" s="237">
        <f t="shared" si="13"/>
        <v>0</v>
      </c>
      <c r="P68" s="237">
        <f t="shared" ref="P68:P70" si="17">IF( AND($M68&gt;0,$O68&gt;0),MIN($M68,$O68),0)</f>
        <v>0</v>
      </c>
      <c r="Q68" s="237">
        <f>SUM($Y$58:$Y$67)</f>
        <v>0</v>
      </c>
      <c r="R68" s="237">
        <f t="shared" ref="R68:R70" si="18">IF($Q68&gt;$P68,0,$P68-$Q68)</f>
        <v>0</v>
      </c>
      <c r="S68" s="237">
        <f>ROUND((                   IF(    ($V68&lt;$L68),      ($K68*$V68),    0)                         ),2)</f>
        <v>0</v>
      </c>
      <c r="T68" s="237">
        <f xml:space="preserve">  IF(  AND($V68=0,$W68=0),  0,   MIN( $R68,  IF($S68&gt;0,$S68,$R68),  IF($U68&gt;0,$U68,$R68),  IF($W68&gt;0,$W68,$R68)))</f>
        <v>0</v>
      </c>
      <c r="U68" s="287">
        <v>0</v>
      </c>
      <c r="V68" s="288">
        <v>0</v>
      </c>
      <c r="W68" s="287">
        <v>0</v>
      </c>
      <c r="X68" s="281">
        <v>0</v>
      </c>
      <c r="Y68" s="307">
        <f>ROUND(($T68+$X68),2)</f>
        <v>0</v>
      </c>
      <c r="Z68" s="308">
        <f>IF(VLOOKUP($E68,CYCLES!$E$4:$N$45, IF($V$5=1,2,IF($V$5=2,3,IF($V$5=3,4,IF($V$5=5,6,1)))),FALSE)="X",$Y68,0)</f>
        <v>0</v>
      </c>
      <c r="AA68" s="308">
        <f>IF(VLOOKUP($E68,PRIORITIES!$E$5:$H$46,4,FALSE)&gt;0,$Z68,0)</f>
        <v>0</v>
      </c>
      <c r="AB68" s="100"/>
      <c r="AC68" s="92"/>
      <c r="AD68" s="93"/>
    </row>
    <row r="69" spans="1:30" ht="24" customHeight="1" outlineLevel="1" x14ac:dyDescent="0.25">
      <c r="A69" s="93"/>
      <c r="B69" s="92"/>
      <c r="C69" s="97"/>
      <c r="D69" s="171">
        <v>7</v>
      </c>
      <c r="E69" s="191" t="s">
        <v>242</v>
      </c>
      <c r="F69" s="291">
        <v>2015</v>
      </c>
      <c r="G69" s="292" t="s">
        <v>6</v>
      </c>
      <c r="H69" s="293">
        <v>1</v>
      </c>
      <c r="I69" s="293">
        <v>0</v>
      </c>
      <c r="J69" s="237">
        <f>$AA$31</f>
        <v>0</v>
      </c>
      <c r="K69" s="237">
        <f>DisposableIncomeTaxLevy</f>
        <v>0</v>
      </c>
      <c r="L69" s="238">
        <v>1</v>
      </c>
      <c r="M69" s="237">
        <f t="shared" si="12"/>
        <v>0</v>
      </c>
      <c r="N69" s="237">
        <f>-('LEVY TABLES'!$G$37+'LEVY TABLES'!$G$38*$H$69)-(IF($I$69=1,'LEVY TABLES'!$G$39,IF($I$69=2,'LEVY TABLES'!$G$40,IF($I$69=3,'LEVY TABLES'!$G$41,IF($I$69&gt;3,'LEVY TABLES'!$G$42,0)))))</f>
        <v>-396.15</v>
      </c>
      <c r="O69" s="237">
        <f t="shared" si="13"/>
        <v>0</v>
      </c>
      <c r="P69" s="237">
        <f t="shared" si="17"/>
        <v>0</v>
      </c>
      <c r="Q69" s="237">
        <f>SUM($Y$58:$Y$68)</f>
        <v>0</v>
      </c>
      <c r="R69" s="237">
        <f t="shared" si="18"/>
        <v>0</v>
      </c>
      <c r="S69" s="237">
        <f>ROUND((                   IF(    ($V69&lt;$L69),      ($K69*$V69),    0)                         ),2)</f>
        <v>0</v>
      </c>
      <c r="T69" s="237">
        <f xml:space="preserve">  IF(  AND($V69=0,$W69=0),  0,   MIN( $R69,  IF($S69&gt;0,$S69,$R69),  IF($U69&gt;0,$U69,$R69),  IF($W69&gt;0,$W69,$R69)))</f>
        <v>0</v>
      </c>
      <c r="U69" s="287">
        <v>0</v>
      </c>
      <c r="V69" s="288">
        <v>0</v>
      </c>
      <c r="W69" s="287">
        <v>0</v>
      </c>
      <c r="X69" s="281">
        <v>0</v>
      </c>
      <c r="Y69" s="307">
        <f>ROUND(($T69+$X69),2)</f>
        <v>0</v>
      </c>
      <c r="Z69" s="308">
        <f>IF(VLOOKUP($E69,CYCLES!$E$4:$N$45, IF($V$5=1,2,IF($V$5=2,3,IF($V$5=3,4,IF($V$5=5,6,1)))),FALSE)="X",$Y69,0)</f>
        <v>0</v>
      </c>
      <c r="AA69" s="308">
        <f>IF(VLOOKUP($E69,PRIORITIES!$E$5:$H$46,4,FALSE)&gt;0,$Z69,0)</f>
        <v>0</v>
      </c>
      <c r="AB69" s="100"/>
      <c r="AC69" s="92"/>
      <c r="AD69" s="93"/>
    </row>
    <row r="70" spans="1:30" ht="24" customHeight="1" outlineLevel="1" x14ac:dyDescent="0.25">
      <c r="A70" s="93"/>
      <c r="B70" s="92"/>
      <c r="C70" s="97"/>
      <c r="D70" s="171">
        <v>8</v>
      </c>
      <c r="E70" s="201" t="s">
        <v>243</v>
      </c>
      <c r="F70" s="291">
        <v>2015</v>
      </c>
      <c r="G70" s="292" t="s">
        <v>6</v>
      </c>
      <c r="H70" s="293">
        <v>1</v>
      </c>
      <c r="I70" s="293">
        <v>0</v>
      </c>
      <c r="J70" s="237">
        <f>$AA$31</f>
        <v>0</v>
      </c>
      <c r="K70" s="237">
        <f>DisposableIncomeTaxLevy</f>
        <v>0</v>
      </c>
      <c r="L70" s="238">
        <v>1</v>
      </c>
      <c r="M70" s="237">
        <f t="shared" si="12"/>
        <v>0</v>
      </c>
      <c r="N70" s="237">
        <f>-('LEVY TABLES'!$L$37+'LEVY TABLES'!$L$38*$H$70)-(IF($I$70=1,'LEVY TABLES'!$L$39,IF($I$70=2,'LEVY TABLES'!$L$40,IF($I$70=3,'LEVY TABLES'!$L$41,IF($I$70&gt;3,'LEVY TABLES'!$L$42,0)))))</f>
        <v>-396.15</v>
      </c>
      <c r="O70" s="237">
        <f t="shared" si="13"/>
        <v>0</v>
      </c>
      <c r="P70" s="237">
        <f t="shared" si="17"/>
        <v>0</v>
      </c>
      <c r="Q70" s="237">
        <f>SUM($Y$58:$Y$69)</f>
        <v>0</v>
      </c>
      <c r="R70" s="237">
        <f t="shared" si="18"/>
        <v>0</v>
      </c>
      <c r="S70" s="237">
        <f>ROUND((                   IF(    ($V70&lt;$L70),      ($K70*$V70),    0)                         ),2)</f>
        <v>0</v>
      </c>
      <c r="T70" s="237">
        <f xml:space="preserve">  IF(  AND($V70=0,$W70=0),  0,   MIN( $R70,  IF($S70&gt;0,$S70,$R70),  IF($U70&gt;0,$U70,$R70),  IF($W70&gt;0,$W70,$R70)))</f>
        <v>0</v>
      </c>
      <c r="U70" s="287">
        <v>0</v>
      </c>
      <c r="V70" s="288">
        <v>0</v>
      </c>
      <c r="W70" s="287">
        <v>0</v>
      </c>
      <c r="X70" s="281">
        <v>0</v>
      </c>
      <c r="Y70" s="299">
        <f>ROUND(($T70+$X70),2)</f>
        <v>0</v>
      </c>
      <c r="Z70" s="301">
        <f>IF(VLOOKUP($E70,CYCLES!$E$4:$N$45, IF($V$5=1,2,IF($V$5=2,3,IF($V$5=3,4,IF($V$5=5,6,1)))),FALSE)="X",$Y70,0)</f>
        <v>0</v>
      </c>
      <c r="AA70" s="301">
        <f>IF(VLOOKUP($E70,PRIORITIES!$E$5:$H$46,4,FALSE)&gt;0,$Z70,0)</f>
        <v>0</v>
      </c>
      <c r="AB70" s="100"/>
      <c r="AC70" s="92"/>
      <c r="AD70" s="93"/>
    </row>
    <row r="71" spans="1:30" ht="43.5" customHeight="1" x14ac:dyDescent="0.25">
      <c r="A71" s="93"/>
      <c r="B71" s="92"/>
      <c r="C71" s="97"/>
      <c r="D71" s="171"/>
      <c r="E71" s="231"/>
      <c r="F71" s="232"/>
      <c r="G71" s="232"/>
      <c r="H71" s="442" t="s">
        <v>270</v>
      </c>
      <c r="I71" s="442"/>
      <c r="J71" s="236" t="s">
        <v>289</v>
      </c>
      <c r="K71" s="236" t="s">
        <v>288</v>
      </c>
      <c r="L71" s="236" t="s">
        <v>303</v>
      </c>
      <c r="M71" s="236" t="s">
        <v>290</v>
      </c>
      <c r="N71" s="236" t="str">
        <f>"4. Federal Minimum Wage "&amp;DOLLAR('TAX TABLES'!$E$66)&amp;" x 60Hrs"</f>
        <v>4. Federal Minimum Wage $7.25 x 60Hrs</v>
      </c>
      <c r="O71" s="236" t="str">
        <f>"5. Disposable less Exempt Amount (Non Exempt Earnings)"</f>
        <v>5. Disposable less Exempt Amount (Non Exempt Earnings)</v>
      </c>
      <c r="P71" s="236" t="s">
        <v>291</v>
      </c>
      <c r="Q71" s="236" t="s">
        <v>293</v>
      </c>
      <c r="R71" s="236" t="s">
        <v>294</v>
      </c>
      <c r="S71" s="236" t="s">
        <v>295</v>
      </c>
      <c r="T71" s="236" t="s">
        <v>296</v>
      </c>
      <c r="U71" s="236" t="s">
        <v>304</v>
      </c>
      <c r="V71" s="236" t="s">
        <v>201</v>
      </c>
      <c r="W71" s="236" t="s">
        <v>287</v>
      </c>
      <c r="X71" s="130" t="s">
        <v>298</v>
      </c>
      <c r="Y71" s="309"/>
      <c r="Z71" s="309"/>
      <c r="AA71" s="308"/>
      <c r="AB71" s="100"/>
      <c r="AC71" s="92"/>
      <c r="AD71" s="93"/>
    </row>
    <row r="72" spans="1:30" x14ac:dyDescent="0.25">
      <c r="A72" s="93"/>
      <c r="B72" s="92"/>
      <c r="C72" s="97"/>
      <c r="D72" s="171">
        <v>9</v>
      </c>
      <c r="E72" s="191" t="s">
        <v>266</v>
      </c>
      <c r="F72" s="188"/>
      <c r="G72" s="188"/>
      <c r="H72" s="121"/>
      <c r="I72" s="121"/>
      <c r="J72" s="108"/>
      <c r="K72" s="108"/>
      <c r="L72" s="99"/>
      <c r="M72" s="108"/>
      <c r="N72" s="130"/>
      <c r="O72" s="108"/>
      <c r="P72" s="108"/>
      <c r="Q72" s="108"/>
      <c r="R72" s="108"/>
      <c r="S72" s="108"/>
      <c r="T72" s="108"/>
      <c r="U72" s="99"/>
      <c r="V72" s="99"/>
      <c r="W72" s="195"/>
      <c r="X72" s="281">
        <v>0</v>
      </c>
      <c r="Y72" s="307">
        <f t="shared" ref="Y72" si="19">ROUND($X72,2)</f>
        <v>0</v>
      </c>
      <c r="Z72" s="308">
        <f>IF(VLOOKUP($E72,CYCLES!$E$4:$N$45, IF($V$5=1,2,IF($V$5=2,3,IF($V$5=3,4,IF($V$5=5,6,1)))),FALSE)="X",$Y72,0)</f>
        <v>0</v>
      </c>
      <c r="AA72" s="308">
        <f>IF(VLOOKUP($E72,PRIORITIES!$E$5:$H$46,4,FALSE)&gt;0,$Z72,0)</f>
        <v>0</v>
      </c>
      <c r="AB72" s="100"/>
      <c r="AC72" s="92"/>
      <c r="AD72" s="93"/>
    </row>
    <row r="73" spans="1:30" ht="18" customHeight="1" x14ac:dyDescent="0.25">
      <c r="A73" s="93"/>
      <c r="B73" s="92"/>
      <c r="C73" s="97"/>
      <c r="D73" s="171">
        <v>9</v>
      </c>
      <c r="E73" s="191" t="s">
        <v>261</v>
      </c>
      <c r="F73" s="188"/>
      <c r="G73" s="188"/>
      <c r="H73" s="441" t="s">
        <v>255</v>
      </c>
      <c r="I73" s="441"/>
      <c r="J73" s="237">
        <f>$AA$31</f>
        <v>0</v>
      </c>
      <c r="K73" s="237">
        <f>IF( OR($H73="Admin Wage Garnishment",$H73="Federal Student Loan"),DisposableIncomeFSLAWG,DisposableIncomeBKSOCG)</f>
        <v>0</v>
      </c>
      <c r="L73" s="240">
        <f>IF($H73="Non Fed Student Loan",15%,25%)</f>
        <v>0.25</v>
      </c>
      <c r="M73" s="237">
        <f>ROUND($K73*$L73,2)</f>
        <v>0</v>
      </c>
      <c r="N73" s="237">
        <f>ROUND((-'TAX TABLES'!$E$66*60),2)</f>
        <v>-435</v>
      </c>
      <c r="O73" s="237">
        <f t="shared" ref="O73:O77" si="20">IF(-$N73&gt;$K73,0,$K73+$N73)</f>
        <v>0</v>
      </c>
      <c r="P73" s="237">
        <f t="shared" ref="P73:P77" si="21">IF( AND($M73&gt;0,$O73&gt;0),MIN($M73,$O73),0)</f>
        <v>0</v>
      </c>
      <c r="Q73" s="237">
        <f>SUM($Y$58:$Y$72)</f>
        <v>0</v>
      </c>
      <c r="R73" s="237">
        <f t="shared" ref="R73:R77" si="22">IF($Q73&gt;$P73,0,$P73-$Q73)</f>
        <v>0</v>
      </c>
      <c r="S73" s="237">
        <f>ROUND((                   IF(    ($V73&lt;$L73),      ($K73*$V73),    0)                         ),2)</f>
        <v>0</v>
      </c>
      <c r="T73" s="237">
        <f xml:space="preserve">  IF(  AND($V73=0,$W73=0),  0,   MIN( $R73,  IF($S73&gt;0,$S73,$R73),  IF($U73&gt;0,$U73,$R73),  IF($W73&gt;0,$W73,$R73)))</f>
        <v>0</v>
      </c>
      <c r="U73" s="287">
        <v>0</v>
      </c>
      <c r="V73" s="290">
        <v>0</v>
      </c>
      <c r="W73" s="287">
        <v>0</v>
      </c>
      <c r="X73" s="281">
        <v>0</v>
      </c>
      <c r="Y73" s="307">
        <f>ROUND(($T73+$X73),2)</f>
        <v>0</v>
      </c>
      <c r="Z73" s="308">
        <f>IF(VLOOKUP($E73,CYCLES!$E$4:$N$45, IF($V$5=1,2,IF($V$5=2,3,IF($V$5=3,4,IF($V$5=5,6,1)))),FALSE)="X",$Y73,0)</f>
        <v>0</v>
      </c>
      <c r="AA73" s="308">
        <f>IF(VLOOKUP($E73,PRIORITIES!$E$5:$H$46,4,FALSE)&gt;0,$Z73,0)</f>
        <v>0</v>
      </c>
      <c r="AB73" s="100"/>
      <c r="AC73" s="92"/>
      <c r="AD73" s="93"/>
    </row>
    <row r="74" spans="1:30" ht="18" customHeight="1" outlineLevel="1" x14ac:dyDescent="0.25">
      <c r="A74" s="93"/>
      <c r="B74" s="92"/>
      <c r="C74" s="97"/>
      <c r="D74" s="171">
        <v>9</v>
      </c>
      <c r="E74" s="191" t="s">
        <v>262</v>
      </c>
      <c r="F74" s="188"/>
      <c r="G74" s="188"/>
      <c r="H74" s="441" t="s">
        <v>255</v>
      </c>
      <c r="I74" s="441"/>
      <c r="J74" s="237">
        <f>$AA$31</f>
        <v>0</v>
      </c>
      <c r="K74" s="237">
        <f>IF( OR($H74="Admin Wage Garnishment",$H74="Federal Student Loan"),DisposableIncomeFSLAWG,DisposableIncomeBKSOCG)</f>
        <v>0</v>
      </c>
      <c r="L74" s="240">
        <f>IF($H74="Non Fed Student Loan",15%,25%)</f>
        <v>0.25</v>
      </c>
      <c r="M74" s="237">
        <f t="shared" ref="M74:M77" si="23">ROUND($K74*$L74,2)</f>
        <v>0</v>
      </c>
      <c r="N74" s="237">
        <f>ROUND((-'TAX TABLES'!$E$66*60),2)</f>
        <v>-435</v>
      </c>
      <c r="O74" s="237">
        <f t="shared" si="20"/>
        <v>0</v>
      </c>
      <c r="P74" s="237">
        <f t="shared" si="21"/>
        <v>0</v>
      </c>
      <c r="Q74" s="237">
        <f>SUM($Y$58:$Y$73)</f>
        <v>0</v>
      </c>
      <c r="R74" s="237">
        <f t="shared" si="22"/>
        <v>0</v>
      </c>
      <c r="S74" s="237">
        <f>ROUND((                   IF(    ($V74&lt;$L74),      ($K74*$V74),    0)                         ),2)</f>
        <v>0</v>
      </c>
      <c r="T74" s="237">
        <f xml:space="preserve">  IF(  AND($V74=0,$W74=0),  0,   MIN( $R74,  IF($S74&gt;0,$S74,$R74),  IF($U74&gt;0,$U74,$R74),  IF($W74&gt;0,$W74,$R74)))</f>
        <v>0</v>
      </c>
      <c r="U74" s="287">
        <v>0</v>
      </c>
      <c r="V74" s="290">
        <v>0</v>
      </c>
      <c r="W74" s="287">
        <v>0</v>
      </c>
      <c r="X74" s="281">
        <v>0</v>
      </c>
      <c r="Y74" s="307">
        <f>ROUND(($T74+$X74),2)</f>
        <v>0</v>
      </c>
      <c r="Z74" s="308">
        <f>IF(VLOOKUP($E74,CYCLES!$E$4:$N$45, IF($V$5=1,2,IF($V$5=2,3,IF($V$5=3,4,IF($V$5=5,6,1)))),FALSE)="X",$Y74,0)</f>
        <v>0</v>
      </c>
      <c r="AA74" s="308">
        <f>IF(VLOOKUP($E74,PRIORITIES!$E$5:$H$46,4,FALSE)&gt;0,$Z74,0)</f>
        <v>0</v>
      </c>
      <c r="AB74" s="100"/>
      <c r="AC74" s="92"/>
      <c r="AD74" s="93"/>
    </row>
    <row r="75" spans="1:30" ht="18" customHeight="1" outlineLevel="1" x14ac:dyDescent="0.25">
      <c r="A75" s="93"/>
      <c r="B75" s="92"/>
      <c r="C75" s="97"/>
      <c r="D75" s="171">
        <v>9</v>
      </c>
      <c r="E75" s="191" t="s">
        <v>263</v>
      </c>
      <c r="F75" s="188"/>
      <c r="G75" s="188"/>
      <c r="H75" s="441" t="s">
        <v>255</v>
      </c>
      <c r="I75" s="441"/>
      <c r="J75" s="237">
        <f>$AA$31</f>
        <v>0</v>
      </c>
      <c r="K75" s="237">
        <f>IF( OR($H75="Admin Wage Garnishment",$H75="Federal Student Loan"),DisposableIncomeFSLAWG,DisposableIncomeBKSOCG)</f>
        <v>0</v>
      </c>
      <c r="L75" s="240">
        <f>IF($H75="Non Fed Student Loan",15%,25%)</f>
        <v>0.25</v>
      </c>
      <c r="M75" s="237">
        <f t="shared" si="23"/>
        <v>0</v>
      </c>
      <c r="N75" s="237">
        <f>ROUND((-'TAX TABLES'!$E$66*60),2)</f>
        <v>-435</v>
      </c>
      <c r="O75" s="237">
        <f t="shared" si="20"/>
        <v>0</v>
      </c>
      <c r="P75" s="237">
        <f t="shared" si="21"/>
        <v>0</v>
      </c>
      <c r="Q75" s="237">
        <f>SUM($Y$58:$Y$74)</f>
        <v>0</v>
      </c>
      <c r="R75" s="237">
        <f t="shared" si="22"/>
        <v>0</v>
      </c>
      <c r="S75" s="237">
        <f>ROUND((                   IF(    ($V75&lt;$L75),      ($K75*$V75),    0)                         ),2)</f>
        <v>0</v>
      </c>
      <c r="T75" s="237">
        <f xml:space="preserve">  IF(  AND($V75=0,$W75=0),  0,   MIN( $R75,  IF($S75&gt;0,$S75,$R75),  IF($U75&gt;0,$U75,$R75),  IF($W75&gt;0,$W75,$R75)))</f>
        <v>0</v>
      </c>
      <c r="U75" s="287">
        <v>0</v>
      </c>
      <c r="V75" s="290">
        <v>0</v>
      </c>
      <c r="W75" s="287">
        <v>0</v>
      </c>
      <c r="X75" s="281">
        <v>0</v>
      </c>
      <c r="Y75" s="307">
        <f>ROUND(($T75+$X75),2)</f>
        <v>0</v>
      </c>
      <c r="Z75" s="308">
        <f>IF(VLOOKUP($E75,CYCLES!$E$4:$N$45, IF($V$5=1,2,IF($V$5=2,3,IF($V$5=3,4,IF($V$5=5,6,1)))),FALSE)="X",$Y75,0)</f>
        <v>0</v>
      </c>
      <c r="AA75" s="308">
        <f>IF(VLOOKUP($E75,PRIORITIES!$E$5:$H$46,4,FALSE)&gt;0,$Z75,0)</f>
        <v>0</v>
      </c>
      <c r="AB75" s="100"/>
      <c r="AC75" s="92"/>
      <c r="AD75" s="93"/>
    </row>
    <row r="76" spans="1:30" ht="18" customHeight="1" outlineLevel="1" x14ac:dyDescent="0.25">
      <c r="A76" s="93"/>
      <c r="B76" s="92"/>
      <c r="C76" s="97"/>
      <c r="D76" s="171">
        <v>9</v>
      </c>
      <c r="E76" s="191" t="s">
        <v>264</v>
      </c>
      <c r="F76" s="188"/>
      <c r="G76" s="188"/>
      <c r="H76" s="441" t="s">
        <v>255</v>
      </c>
      <c r="I76" s="441"/>
      <c r="J76" s="237">
        <f>$AA$31</f>
        <v>0</v>
      </c>
      <c r="K76" s="237">
        <f>IF( OR($H76="Admin Wage Garnishment",$H76="Federal Student Loan"),DisposableIncomeFSLAWG,DisposableIncomeBKSOCG)</f>
        <v>0</v>
      </c>
      <c r="L76" s="240">
        <f>IF($H76="Non Fed Student Loan",15%,25%)</f>
        <v>0.25</v>
      </c>
      <c r="M76" s="237">
        <f t="shared" si="23"/>
        <v>0</v>
      </c>
      <c r="N76" s="237">
        <f>ROUND((-'TAX TABLES'!$E$66*60),2)</f>
        <v>-435</v>
      </c>
      <c r="O76" s="237">
        <f t="shared" si="20"/>
        <v>0</v>
      </c>
      <c r="P76" s="237">
        <f t="shared" si="21"/>
        <v>0</v>
      </c>
      <c r="Q76" s="237">
        <f>SUM($Y$58:$Y$75)</f>
        <v>0</v>
      </c>
      <c r="R76" s="237">
        <f t="shared" si="22"/>
        <v>0</v>
      </c>
      <c r="S76" s="237">
        <f>ROUND((                   IF(    ($V76&lt;$L76),      ($K76*$V76),    0)                         ),2)</f>
        <v>0</v>
      </c>
      <c r="T76" s="237">
        <f xml:space="preserve">  IF(  AND($V76=0,$W76=0),  0,   MIN( $R76,  IF($S76&gt;0,$S76,$R76),  IF($U76&gt;0,$U76,$R76),  IF($W76&gt;0,$W76,$R76)))</f>
        <v>0</v>
      </c>
      <c r="U76" s="287">
        <v>0</v>
      </c>
      <c r="V76" s="290">
        <v>0</v>
      </c>
      <c r="W76" s="287">
        <v>0</v>
      </c>
      <c r="X76" s="281">
        <v>0</v>
      </c>
      <c r="Y76" s="307">
        <f>ROUND(($T76+$X76),2)</f>
        <v>0</v>
      </c>
      <c r="Z76" s="308">
        <f>IF(VLOOKUP($E76,CYCLES!$E$4:$N$45, IF($V$5=1,2,IF($V$5=2,3,IF($V$5=3,4,IF($V$5=5,6,1)))),FALSE)="X",$Y76,0)</f>
        <v>0</v>
      </c>
      <c r="AA76" s="308">
        <f>IF(VLOOKUP($E76,PRIORITIES!$E$5:$H$46,4,FALSE)&gt;0,$Z76,0)</f>
        <v>0</v>
      </c>
      <c r="AB76" s="100"/>
      <c r="AC76" s="92"/>
      <c r="AD76" s="93"/>
    </row>
    <row r="77" spans="1:30" ht="18" customHeight="1" outlineLevel="1" x14ac:dyDescent="0.25">
      <c r="A77" s="93"/>
      <c r="B77" s="92"/>
      <c r="C77" s="97"/>
      <c r="D77" s="171">
        <v>9</v>
      </c>
      <c r="E77" s="191" t="s">
        <v>265</v>
      </c>
      <c r="F77" s="188"/>
      <c r="G77" s="188"/>
      <c r="H77" s="441" t="s">
        <v>255</v>
      </c>
      <c r="I77" s="441"/>
      <c r="J77" s="237">
        <f>$AA$31</f>
        <v>0</v>
      </c>
      <c r="K77" s="237">
        <f>IF( OR($H77="Admin Wage Garnishment",$H77="Federal Student Loan"),DisposableIncomeFSLAWG,DisposableIncomeBKSOCG)</f>
        <v>0</v>
      </c>
      <c r="L77" s="240">
        <f>IF($H77="Non Fed Student Loan",15%,25%)</f>
        <v>0.25</v>
      </c>
      <c r="M77" s="237">
        <f t="shared" si="23"/>
        <v>0</v>
      </c>
      <c r="N77" s="237">
        <f>ROUND((-'TAX TABLES'!$E$66*60),2)</f>
        <v>-435</v>
      </c>
      <c r="O77" s="237">
        <f t="shared" si="20"/>
        <v>0</v>
      </c>
      <c r="P77" s="237">
        <f t="shared" si="21"/>
        <v>0</v>
      </c>
      <c r="Q77" s="237">
        <f>SUM($Y$58:$Y$76)</f>
        <v>0</v>
      </c>
      <c r="R77" s="237">
        <f t="shared" si="22"/>
        <v>0</v>
      </c>
      <c r="S77" s="237">
        <f>ROUND((                   IF(    ($V77&lt;$L77),      ($K77*$V77),    0)                         ),2)</f>
        <v>0</v>
      </c>
      <c r="T77" s="237">
        <f xml:space="preserve">  IF(  AND($V77=0,$W77=0),  0,   MIN( $R77,  IF($S77&gt;0,$S77,$R77),  IF($U77&gt;0,$U77,$R77),  IF($W77&gt;0,$W77,$R77)))</f>
        <v>0</v>
      </c>
      <c r="U77" s="287">
        <v>0</v>
      </c>
      <c r="V77" s="290">
        <v>0</v>
      </c>
      <c r="W77" s="287">
        <v>0</v>
      </c>
      <c r="X77" s="281">
        <v>0</v>
      </c>
      <c r="Y77" s="299">
        <f>ROUND(($T77+$X77),2)</f>
        <v>0</v>
      </c>
      <c r="Z77" s="301">
        <f>IF(VLOOKUP($E77,CYCLES!$E$4:$N$45, IF($V$5=1,2,IF($V$5=2,3,IF($V$5=3,4,IF($V$5=5,6,1)))),FALSE)="X",$Y77,0)</f>
        <v>0</v>
      </c>
      <c r="AA77" s="301">
        <f>IF(VLOOKUP($E77,PRIORITIES!$E$5:$H$46,4,FALSE)&gt;0,$Z77,0)</f>
        <v>0</v>
      </c>
      <c r="AB77" s="100"/>
      <c r="AC77" s="92"/>
      <c r="AD77" s="93"/>
    </row>
    <row r="78" spans="1:30" x14ac:dyDescent="0.25">
      <c r="A78" s="93"/>
      <c r="B78" s="92"/>
      <c r="C78" s="97"/>
      <c r="D78" s="102">
        <v>2</v>
      </c>
      <c r="E78" s="191" t="s">
        <v>193</v>
      </c>
      <c r="F78" s="188"/>
      <c r="G78" s="188"/>
      <c r="H78" s="188"/>
      <c r="I78" s="188"/>
      <c r="J78" s="188"/>
      <c r="K78" s="188"/>
      <c r="L78" s="188"/>
      <c r="M78" s="188"/>
      <c r="N78" s="188"/>
      <c r="O78" s="188"/>
      <c r="P78" s="188"/>
      <c r="Q78" s="188"/>
      <c r="R78" s="188"/>
      <c r="S78" s="188"/>
      <c r="T78" s="188"/>
      <c r="U78" s="188"/>
      <c r="V78" s="434">
        <f>IF( OR(H34="PLAN-ASRS",H34="ELECTED OFFICIALS ASRS PLAN"),VLOOKUP("LTD ASRS",'TAX TABLES'!$Q$9:$S$39,3,FALSE),IF(H34="ELECTED OFFICIALS DEFINED CONTRIBUTION (NTWD)",VLOOKUP("EODCRS DISABILITY",'TAX TABLES'!$Q$9:$S$39,3,FALSE),"0%"))</f>
        <v>1.1999999999999999E-3</v>
      </c>
      <c r="W78" s="187"/>
      <c r="X78" s="281">
        <v>0</v>
      </c>
      <c r="Y78" s="307">
        <f>IF(V78&lt;&gt;"",(ROUND( (V78*ASRSeligibleWage),2)+ROUND($X78,2)),(ROUND($X78,2)))</f>
        <v>0</v>
      </c>
      <c r="Z78" s="308">
        <f>IF(VLOOKUP($E78,CYCLES!$E$4:$N$45, IF($V$5=1,2,IF($V$5=2,3,IF($V$5=3,4,IF($V$5=5,6,1)))),FALSE)="X",$Y78,0)</f>
        <v>0</v>
      </c>
      <c r="AA78" s="308">
        <f>IF(VLOOKUP($E78,PRIORITIES!$E$5:$H$46,4,FALSE)&gt;0,$Z78,0)</f>
        <v>0</v>
      </c>
      <c r="AB78" s="100"/>
      <c r="AC78" s="92"/>
      <c r="AD78" s="93"/>
    </row>
    <row r="79" spans="1:30" x14ac:dyDescent="0.25">
      <c r="A79" s="93"/>
      <c r="B79" s="92"/>
      <c r="C79" s="97"/>
      <c r="D79" s="102">
        <v>2</v>
      </c>
      <c r="E79" s="191" t="s">
        <v>143</v>
      </c>
      <c r="F79" s="188"/>
      <c r="G79" s="188"/>
      <c r="H79" s="194"/>
      <c r="I79" s="188"/>
      <c r="J79" s="188"/>
      <c r="K79" s="188"/>
      <c r="L79" s="188"/>
      <c r="M79" s="188"/>
      <c r="N79" s="188"/>
      <c r="O79" s="188"/>
      <c r="P79" s="188"/>
      <c r="Q79" s="188"/>
      <c r="R79" s="188"/>
      <c r="S79" s="188"/>
      <c r="T79" s="188"/>
      <c r="U79" s="188"/>
      <c r="V79" s="188"/>
      <c r="W79" s="188"/>
      <c r="X79" s="281">
        <v>0</v>
      </c>
      <c r="Y79" s="307">
        <f t="shared" ref="Y79:Y85" si="24">ROUND($X79,2)</f>
        <v>0</v>
      </c>
      <c r="Z79" s="308">
        <f>IF(VLOOKUP($E79,CYCLES!$E$4:$N$45, IF($V$5=1,2,IF($V$5=2,3,IF($V$5=3,4,IF($V$5=5,6,1)))),FALSE)="X",$Y79,0)</f>
        <v>0</v>
      </c>
      <c r="AA79" s="308">
        <f>IF(VLOOKUP($E79,PRIORITIES!$E$5:$H$46,4,FALSE)&gt;0,$Z79,0)</f>
        <v>0</v>
      </c>
      <c r="AB79" s="100"/>
      <c r="AC79" s="92"/>
      <c r="AD79" s="93"/>
    </row>
    <row r="80" spans="1:30" x14ac:dyDescent="0.25">
      <c r="A80" s="93"/>
      <c r="B80" s="92"/>
      <c r="C80" s="97"/>
      <c r="D80" s="102">
        <v>2</v>
      </c>
      <c r="E80" s="191" t="s">
        <v>163</v>
      </c>
      <c r="F80" s="188"/>
      <c r="G80" s="188"/>
      <c r="H80" s="194"/>
      <c r="I80" s="188"/>
      <c r="J80" s="188"/>
      <c r="K80" s="188"/>
      <c r="L80" s="188"/>
      <c r="M80" s="188"/>
      <c r="N80" s="188"/>
      <c r="O80" s="188"/>
      <c r="P80" s="188"/>
      <c r="Q80" s="188"/>
      <c r="R80" s="188"/>
      <c r="S80" s="188"/>
      <c r="T80" s="188"/>
      <c r="U80" s="188"/>
      <c r="V80" s="188"/>
      <c r="W80" s="188"/>
      <c r="X80" s="281">
        <v>0</v>
      </c>
      <c r="Y80" s="307">
        <f t="shared" si="24"/>
        <v>0</v>
      </c>
      <c r="Z80" s="308">
        <f>IF(VLOOKUP($E80,CYCLES!$E$4:$N$45, IF($V$5=1,2,IF($V$5=2,3,IF($V$5=3,4,IF($V$5=5,6,1)))),FALSE)="X",$Y80,0)</f>
        <v>0</v>
      </c>
      <c r="AA80" s="308">
        <f>IF(VLOOKUP($E80,PRIORITIES!$E$5:$H$46,4,FALSE)&gt;0,$Z80,0)</f>
        <v>0</v>
      </c>
      <c r="AB80" s="100"/>
      <c r="AC80" s="92"/>
      <c r="AD80" s="93"/>
    </row>
    <row r="81" spans="1:30" x14ac:dyDescent="0.25">
      <c r="A81" s="93"/>
      <c r="B81" s="92"/>
      <c r="C81" s="97"/>
      <c r="D81" s="102">
        <v>2</v>
      </c>
      <c r="E81" s="191" t="s">
        <v>145</v>
      </c>
      <c r="F81" s="188"/>
      <c r="G81" s="188"/>
      <c r="H81" s="194"/>
      <c r="I81" s="188"/>
      <c r="J81" s="188"/>
      <c r="K81" s="188"/>
      <c r="L81" s="188"/>
      <c r="M81" s="188"/>
      <c r="N81" s="188"/>
      <c r="O81" s="188"/>
      <c r="P81" s="188"/>
      <c r="Q81" s="188"/>
      <c r="R81" s="188"/>
      <c r="S81" s="188"/>
      <c r="T81" s="188"/>
      <c r="U81" s="188"/>
      <c r="V81" s="188"/>
      <c r="W81" s="188"/>
      <c r="X81" s="281">
        <v>0</v>
      </c>
      <c r="Y81" s="307">
        <f t="shared" si="24"/>
        <v>0</v>
      </c>
      <c r="Z81" s="308">
        <f>IF(VLOOKUP($E81,CYCLES!$E$4:$N$45, IF($V$5=1,2,IF($V$5=2,3,IF($V$5=3,4,IF($V$5=5,6,1)))),FALSE)="X",$Y81,0)</f>
        <v>0</v>
      </c>
      <c r="AA81" s="308">
        <f>IF(VLOOKUP($E81,PRIORITIES!$E$5:$H$46,4,FALSE)&gt;0,$Z81,0)</f>
        <v>0</v>
      </c>
      <c r="AB81" s="100"/>
      <c r="AC81" s="92"/>
      <c r="AD81" s="93"/>
    </row>
    <row r="82" spans="1:30" x14ac:dyDescent="0.25">
      <c r="A82" s="93"/>
      <c r="B82" s="92"/>
      <c r="C82" s="97"/>
      <c r="D82" s="102">
        <v>8</v>
      </c>
      <c r="E82" s="191" t="s">
        <v>297</v>
      </c>
      <c r="F82" s="188"/>
      <c r="G82" s="188"/>
      <c r="H82" s="194"/>
      <c r="I82" s="188"/>
      <c r="J82" s="188"/>
      <c r="K82" s="188"/>
      <c r="L82" s="188"/>
      <c r="M82" s="188"/>
      <c r="N82" s="188"/>
      <c r="O82" s="188"/>
      <c r="P82" s="188"/>
      <c r="Q82" s="188"/>
      <c r="R82" s="188"/>
      <c r="S82" s="188"/>
      <c r="T82" s="188"/>
      <c r="U82" s="188"/>
      <c r="V82" s="188"/>
      <c r="W82" s="274" t="str">
        <f>IF($Y82&lt;&gt;0,"May be restricted by annual contribution limits ==&gt;","")</f>
        <v/>
      </c>
      <c r="X82" s="281">
        <v>0</v>
      </c>
      <c r="Y82" s="307">
        <f t="shared" si="24"/>
        <v>0</v>
      </c>
      <c r="Z82" s="308">
        <f>IF(VLOOKUP($E82,CYCLES!$E$4:$N$45, IF($V$5=1,2,IF($V$5=2,3,IF($V$5=3,4,IF($V$5=5,6,1)))),FALSE)="X",$Y82,0)</f>
        <v>0</v>
      </c>
      <c r="AA82" s="308">
        <f>IF(VLOOKUP($E82,PRIORITIES!$E$5:$H$46,4,FALSE)&gt;0,$Z82,0)</f>
        <v>0</v>
      </c>
      <c r="AB82" s="100"/>
      <c r="AC82" s="92"/>
      <c r="AD82" s="93"/>
    </row>
    <row r="83" spans="1:30" x14ac:dyDescent="0.25">
      <c r="A83" s="93"/>
      <c r="B83" s="92"/>
      <c r="C83" s="97"/>
      <c r="D83" s="99">
        <v>9</v>
      </c>
      <c r="E83" s="191" t="s">
        <v>146</v>
      </c>
      <c r="F83" s="188"/>
      <c r="G83" s="188"/>
      <c r="H83" s="194"/>
      <c r="I83" s="194"/>
      <c r="J83" s="194"/>
      <c r="K83" s="194"/>
      <c r="L83" s="194"/>
      <c r="M83" s="194"/>
      <c r="N83" s="194"/>
      <c r="O83" s="194"/>
      <c r="P83" s="194"/>
      <c r="Q83" s="194"/>
      <c r="R83" s="194"/>
      <c r="S83" s="194"/>
      <c r="T83" s="194"/>
      <c r="U83" s="194"/>
      <c r="V83" s="188"/>
      <c r="W83" s="188"/>
      <c r="X83" s="281">
        <v>0</v>
      </c>
      <c r="Y83" s="307">
        <f t="shared" si="24"/>
        <v>0</v>
      </c>
      <c r="Z83" s="308">
        <f>IF(VLOOKUP($E83,CYCLES!$E$4:$N$45, IF($V$5=1,2,IF($V$5=2,3,IF($V$5=3,4,IF($V$5=5,6,1)))),FALSE)="X",$Y83,0)</f>
        <v>0</v>
      </c>
      <c r="AA83" s="308">
        <f>IF(VLOOKUP($E83,PRIORITIES!$E$5:$H$46,4,FALSE)&gt;0,$Z83,0)</f>
        <v>0</v>
      </c>
      <c r="AB83" s="100"/>
      <c r="AC83" s="92"/>
      <c r="AD83" s="93"/>
    </row>
    <row r="84" spans="1:30" x14ac:dyDescent="0.25">
      <c r="A84" s="93"/>
      <c r="B84" s="92"/>
      <c r="C84" s="97"/>
      <c r="D84" s="102">
        <v>9</v>
      </c>
      <c r="E84" s="191" t="s">
        <v>147</v>
      </c>
      <c r="F84" s="188"/>
      <c r="G84" s="188"/>
      <c r="H84" s="194"/>
      <c r="I84" s="194"/>
      <c r="J84" s="194"/>
      <c r="K84" s="194"/>
      <c r="L84" s="194"/>
      <c r="M84" s="194"/>
      <c r="N84" s="194"/>
      <c r="O84" s="194"/>
      <c r="P84" s="194"/>
      <c r="Q84" s="194"/>
      <c r="R84" s="194"/>
      <c r="S84" s="194"/>
      <c r="T84" s="194"/>
      <c r="U84" s="194"/>
      <c r="V84" s="188"/>
      <c r="W84" s="188"/>
      <c r="X84" s="281">
        <v>0</v>
      </c>
      <c r="Y84" s="307">
        <f t="shared" si="24"/>
        <v>0</v>
      </c>
      <c r="Z84" s="308">
        <f>IF(VLOOKUP($E84,CYCLES!$E$4:$N$45, IF($V$5=1,2,IF($V$5=2,3,IF($V$5=3,4,IF($V$5=5,6,1)))),FALSE)="X",$Y84,0)</f>
        <v>0</v>
      </c>
      <c r="AA84" s="308">
        <f>IF(VLOOKUP($E84,PRIORITIES!$E$5:$H$46,4,FALSE)&gt;0,$Z84,0)</f>
        <v>0</v>
      </c>
      <c r="AB84" s="100"/>
      <c r="AC84" s="92"/>
      <c r="AD84" s="93"/>
    </row>
    <row r="85" spans="1:30" x14ac:dyDescent="0.25">
      <c r="A85" s="93"/>
      <c r="B85" s="92"/>
      <c r="C85" s="97"/>
      <c r="D85" s="102">
        <v>9</v>
      </c>
      <c r="E85" s="248" t="s">
        <v>307</v>
      </c>
      <c r="F85" s="199"/>
      <c r="G85" s="199"/>
      <c r="H85" s="199"/>
      <c r="I85" s="199"/>
      <c r="J85" s="199"/>
      <c r="K85" s="199"/>
      <c r="L85" s="199"/>
      <c r="M85" s="199"/>
      <c r="N85" s="199"/>
      <c r="O85" s="199"/>
      <c r="P85" s="199"/>
      <c r="Q85" s="199"/>
      <c r="R85" s="199"/>
      <c r="S85" s="199"/>
      <c r="T85" s="199"/>
      <c r="U85" s="199"/>
      <c r="V85" s="199"/>
      <c r="W85" s="200"/>
      <c r="X85" s="281">
        <v>0</v>
      </c>
      <c r="Y85" s="221">
        <f t="shared" si="24"/>
        <v>0</v>
      </c>
      <c r="Z85" s="107">
        <f>IF(VLOOKUP($E85,CYCLES!$E$4:$N$45, IF($V$5=1,2,IF($V$5=2,3,IF($V$5=3,4,IF($V$5=5,6,1)))),FALSE)="X",$Y85,0)</f>
        <v>0</v>
      </c>
      <c r="AA85" s="107">
        <f>IF(VLOOKUP($E85,PRIORITIES!$E$5:$H$46,4,FALSE)&gt;0,$Z85,0)</f>
        <v>0</v>
      </c>
      <c r="AB85" s="100"/>
      <c r="AC85" s="92"/>
      <c r="AD85" s="93"/>
    </row>
    <row r="86" spans="1:30" x14ac:dyDescent="0.25">
      <c r="A86" s="93"/>
      <c r="B86" s="92"/>
      <c r="C86" s="97"/>
      <c r="D86" s="99"/>
      <c r="E86" s="211" t="s">
        <v>150</v>
      </c>
      <c r="F86" s="208"/>
      <c r="G86" s="208"/>
      <c r="H86" s="208"/>
      <c r="I86" s="208"/>
      <c r="J86" s="208"/>
      <c r="K86" s="208"/>
      <c r="L86" s="208"/>
      <c r="M86" s="208"/>
      <c r="N86" s="208"/>
      <c r="O86" s="208"/>
      <c r="P86" s="208"/>
      <c r="Q86" s="208"/>
      <c r="R86" s="208"/>
      <c r="S86" s="208"/>
      <c r="T86" s="208"/>
      <c r="U86" s="208"/>
      <c r="V86" s="208"/>
      <c r="W86" s="208"/>
      <c r="X86" s="208"/>
      <c r="Y86" s="210">
        <f>SUM(Y55:Y85)</f>
        <v>0</v>
      </c>
      <c r="Z86" s="210">
        <f>SUM(Z55:Z85)</f>
        <v>0</v>
      </c>
      <c r="AA86" s="210">
        <f>SUM(AA55:AA85)</f>
        <v>0</v>
      </c>
      <c r="AB86" s="100"/>
      <c r="AC86" s="92"/>
      <c r="AD86" s="93"/>
    </row>
    <row r="87" spans="1:30" x14ac:dyDescent="0.25">
      <c r="A87" s="93"/>
      <c r="B87" s="92"/>
      <c r="C87" s="97"/>
      <c r="D87" s="99"/>
      <c r="E87" s="99"/>
      <c r="F87" s="99"/>
      <c r="G87" s="99"/>
      <c r="H87" s="99"/>
      <c r="I87" s="99"/>
      <c r="J87" s="99"/>
      <c r="K87" s="99"/>
      <c r="L87" s="99"/>
      <c r="M87" s="99"/>
      <c r="N87" s="99"/>
      <c r="O87" s="99"/>
      <c r="P87" s="99"/>
      <c r="Q87" s="99"/>
      <c r="R87" s="99"/>
      <c r="S87" s="99"/>
      <c r="T87" s="99"/>
      <c r="U87" s="99"/>
      <c r="V87" s="99"/>
      <c r="W87" s="99"/>
      <c r="X87" s="99"/>
      <c r="Y87" s="203"/>
      <c r="Z87" s="203"/>
      <c r="AA87" s="203"/>
      <c r="AB87" s="100"/>
      <c r="AC87" s="92"/>
      <c r="AD87" s="93"/>
    </row>
    <row r="88" spans="1:30" ht="15.75" thickBot="1" x14ac:dyDescent="0.3">
      <c r="A88" s="93"/>
      <c r="B88" s="92"/>
      <c r="C88" s="97"/>
      <c r="D88" s="212" t="s">
        <v>152</v>
      </c>
      <c r="E88" s="213"/>
      <c r="F88" s="213"/>
      <c r="G88" s="213"/>
      <c r="H88" s="213"/>
      <c r="I88" s="213"/>
      <c r="J88" s="213"/>
      <c r="K88" s="213"/>
      <c r="L88" s="213"/>
      <c r="M88" s="213"/>
      <c r="N88" s="213"/>
      <c r="O88" s="213"/>
      <c r="P88" s="213"/>
      <c r="Q88" s="213"/>
      <c r="R88" s="213"/>
      <c r="S88" s="213"/>
      <c r="T88" s="213"/>
      <c r="U88" s="214"/>
      <c r="V88" s="213"/>
      <c r="W88" s="213"/>
      <c r="X88" s="213"/>
      <c r="Y88" s="215">
        <f>Y31-Y46-Y54-Y86</f>
        <v>0</v>
      </c>
      <c r="Z88" s="215">
        <f>Z31-Z46-Z54-Z86</f>
        <v>0</v>
      </c>
      <c r="AA88" s="298">
        <f>AA31-AA46-AA54-AA86</f>
        <v>0</v>
      </c>
      <c r="AB88" s="100" t="str">
        <f>IF(($Z$88-SUM($Z$26:$Z$30)&lt;0),"*","")</f>
        <v/>
      </c>
      <c r="AC88" s="92"/>
      <c r="AD88" s="93"/>
    </row>
    <row r="89" spans="1:30" ht="15.75" thickTop="1" x14ac:dyDescent="0.25">
      <c r="A89" s="93"/>
      <c r="B89" s="92"/>
      <c r="C89" s="97"/>
      <c r="D89" s="101"/>
      <c r="E89" s="99"/>
      <c r="F89" s="99"/>
      <c r="G89" s="99"/>
      <c r="H89" s="99"/>
      <c r="I89" s="99"/>
      <c r="J89" s="99"/>
      <c r="K89" s="99"/>
      <c r="L89" s="99"/>
      <c r="M89" s="99"/>
      <c r="N89" s="99"/>
      <c r="O89" s="99"/>
      <c r="P89" s="99"/>
      <c r="Q89" s="99"/>
      <c r="R89" s="99"/>
      <c r="S89" s="99"/>
      <c r="T89" s="99"/>
      <c r="U89" s="106"/>
      <c r="V89" s="99"/>
      <c r="W89" s="99"/>
      <c r="X89" s="99"/>
      <c r="Y89" s="99"/>
      <c r="Z89" s="268" t="str">
        <f>IF(($Z$88-SUM($Z$26:$Z$30)&lt;0),"*Deductions exceed available earnings, See Column AA ==&gt;","")</f>
        <v/>
      </c>
      <c r="AA89" s="245"/>
      <c r="AB89" s="100"/>
      <c r="AC89" s="92"/>
      <c r="AD89" s="93"/>
    </row>
    <row r="90" spans="1:30" x14ac:dyDescent="0.25">
      <c r="A90" s="93"/>
      <c r="B90" s="92"/>
      <c r="C90" s="97"/>
      <c r="D90" s="101" t="s">
        <v>319</v>
      </c>
      <c r="E90" s="99"/>
      <c r="F90" s="99"/>
      <c r="G90" s="99"/>
      <c r="H90" s="99"/>
      <c r="I90" s="99"/>
      <c r="J90" s="99"/>
      <c r="K90" s="99"/>
      <c r="L90" s="99"/>
      <c r="M90" s="99"/>
      <c r="N90" s="99"/>
      <c r="O90" s="99"/>
      <c r="P90" s="99"/>
      <c r="Q90" s="99"/>
      <c r="R90" s="99"/>
      <c r="S90" s="99"/>
      <c r="T90" s="99"/>
      <c r="U90" s="106"/>
      <c r="V90" s="99"/>
      <c r="W90" s="99"/>
      <c r="X90" s="99"/>
      <c r="Y90" s="245"/>
      <c r="Z90" s="245"/>
      <c r="AA90" s="245"/>
      <c r="AB90" s="100"/>
      <c r="AC90" s="92"/>
      <c r="AD90" s="93"/>
    </row>
    <row r="91" spans="1:30" x14ac:dyDescent="0.25">
      <c r="A91" s="93"/>
      <c r="B91" s="92"/>
      <c r="C91" s="97"/>
      <c r="D91" s="101" t="s">
        <v>320</v>
      </c>
      <c r="E91" s="99"/>
      <c r="F91" s="99"/>
      <c r="G91" s="99"/>
      <c r="H91" s="99"/>
      <c r="I91" s="99"/>
      <c r="J91" s="99"/>
      <c r="K91" s="99"/>
      <c r="L91" s="99"/>
      <c r="M91" s="99"/>
      <c r="N91" s="99"/>
      <c r="O91" s="99"/>
      <c r="P91" s="99"/>
      <c r="Q91" s="99"/>
      <c r="R91" s="99"/>
      <c r="S91" s="99"/>
      <c r="T91" s="99"/>
      <c r="U91" s="106"/>
      <c r="V91" s="99"/>
      <c r="W91" s="99"/>
      <c r="X91" s="99"/>
      <c r="Y91" s="245"/>
      <c r="Z91" s="245"/>
      <c r="AA91" s="245"/>
      <c r="AB91" s="100"/>
      <c r="AC91" s="92"/>
      <c r="AD91" s="93"/>
    </row>
    <row r="92" spans="1:30" ht="15.75" thickBot="1" x14ac:dyDescent="0.3">
      <c r="A92" s="93"/>
      <c r="B92" s="92"/>
      <c r="C92" s="103"/>
      <c r="D92" s="104"/>
      <c r="E92" s="104"/>
      <c r="F92" s="104"/>
      <c r="G92" s="104"/>
      <c r="H92" s="104"/>
      <c r="I92" s="104"/>
      <c r="J92" s="104"/>
      <c r="K92" s="104"/>
      <c r="L92" s="104"/>
      <c r="M92" s="104"/>
      <c r="N92" s="104"/>
      <c r="O92" s="104"/>
      <c r="P92" s="104"/>
      <c r="Q92" s="104"/>
      <c r="R92" s="104"/>
      <c r="S92" s="104"/>
      <c r="T92" s="104"/>
      <c r="U92" s="104"/>
      <c r="V92" s="104"/>
      <c r="W92" s="178"/>
      <c r="X92" s="178"/>
      <c r="Y92" s="178"/>
      <c r="Z92" s="178"/>
      <c r="AA92" s="104"/>
      <c r="AB92" s="105"/>
      <c r="AC92" s="92"/>
      <c r="AD92" s="93"/>
    </row>
    <row r="93" spans="1:30" ht="5.0999999999999996" customHeight="1" x14ac:dyDescent="0.25">
      <c r="A93" s="93"/>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3"/>
    </row>
    <row r="94" spans="1:30" x14ac:dyDescent="0.25">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row>
    <row r="98" spans="25:26" x14ac:dyDescent="0.25">
      <c r="Y98" s="186"/>
      <c r="Z98" s="186"/>
    </row>
  </sheetData>
  <sheetProtection password="8E71" sheet="1" objects="1" scenarios="1"/>
  <mergeCells count="11">
    <mergeCell ref="E6:F6"/>
    <mergeCell ref="H6:I6"/>
    <mergeCell ref="AA5:AA7"/>
    <mergeCell ref="H77:I77"/>
    <mergeCell ref="H71:I71"/>
    <mergeCell ref="H73:I73"/>
    <mergeCell ref="H74:I74"/>
    <mergeCell ref="H75:I75"/>
    <mergeCell ref="H76:I76"/>
    <mergeCell ref="H34:U34"/>
    <mergeCell ref="Z5:Z7"/>
  </mergeCells>
  <conditionalFormatting sqref="H49:I49 U49">
    <cfRule type="expression" dxfId="3" priority="17">
      <formula>$G$49="Yes"</formula>
    </cfRule>
  </conditionalFormatting>
  <conditionalFormatting sqref="U50:V50">
    <cfRule type="expression" dxfId="2" priority="16">
      <formula>$G$50="Yes"</formula>
    </cfRule>
  </conditionalFormatting>
  <dataValidations count="5">
    <dataValidation type="decimal" operator="greaterThanOrEqual" allowBlank="1" showInputMessage="1" showErrorMessage="1" errorTitle="Error" error="Additional amount must be entered as a positive number or zero." promptTitle="Federal Taxes Additional Amount" prompt="Enter additional amount to be withheld for Federal Tax Withholding.  Can also be zero." sqref="U49">
      <formula1>0</formula1>
    </dataValidation>
    <dataValidation type="decimal" operator="greaterThanOrEqual" allowBlank="1" showInputMessage="1" showErrorMessage="1" errorTitle="Error" error="Must be entered as positive number or zero." promptTitle="State Taxes Additional Amount" prompt="Enter additional amount to be withheld for State Tax Withholding.  Can also be zero." sqref="U50">
      <formula1>0</formula1>
    </dataValidation>
    <dataValidation allowBlank="1" showErrorMessage="1" errorTitle="Error" error="Must be a whole percentage from 15% to 25%" sqref="L73:L77 V73:V77"/>
    <dataValidation type="custom" allowBlank="1" showInputMessage="1" showErrorMessage="1" error="Enter zero or positive numbe" sqref="U73:U77 U61:U66 U68:U70 W68:W70 W73:W77 W60:W66">
      <formula1>$W60&gt;=0</formula1>
    </dataValidation>
    <dataValidation type="custom" allowBlank="1" showInputMessage="1" showErrorMessage="1" error="Enter zero or positive numbe" sqref="K43">
      <formula1>$K43&gt;=0</formula1>
    </dataValidation>
  </dataValidations>
  <printOptions horizontalCentered="1" verticalCentered="1"/>
  <pageMargins left="0.25" right="0.25" top="0.3" bottom="0.3" header="0.3" footer="0.25"/>
  <pageSetup scale="48" orientation="portrait" r:id="rId1"/>
  <headerFooter>
    <oddFooter>&amp;L&amp;12Version 1.1.15   &amp;D &amp;T&amp;C&amp;12&amp;Z&amp;F  &amp;R&amp;12GAO Central Payroll Agency Payroll Guide III.Q.</oddFooter>
  </headerFooter>
  <colBreaks count="1" manualBreakCount="1">
    <brk id="29" max="1048575" man="1"/>
  </colBreaks>
  <ignoredErrors>
    <ignoredError sqref="Y27:AA27 Y43" formula="1"/>
  </ignoredError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OPTIONS!$C$7:$C$8</xm:f>
          </x14:formula1>
          <xm:sqref>H49</xm:sqref>
        </x14:dataValidation>
        <x14:dataValidation type="list" allowBlank="1" showInputMessage="1" showErrorMessage="1">
          <x14:formula1>
            <xm:f>OPTIONS!$C$11:$C$18</xm:f>
          </x14:formula1>
          <xm:sqref>V50</xm:sqref>
        </x14:dataValidation>
        <x14:dataValidation type="list" allowBlank="1" showInputMessage="1" showErrorMessage="1">
          <x14:formula1>
            <xm:f>OPTIONS!$C$1:$C$2</xm:f>
          </x14:formula1>
          <xm:sqref>G49:G50 H61:I66 V20:V25</xm:sqref>
        </x14:dataValidation>
        <x14:dataValidation type="list" allowBlank="1" showInputMessage="1" showErrorMessage="1" errorTitle="Error" error="Must be 1.5 or 1.0">
          <x14:formula1>
            <xm:f>OPTIONS!$C$4:$C$5</xm:f>
          </x14:formula1>
          <xm:sqref>V9</xm:sqref>
        </x14:dataValidation>
        <x14:dataValidation type="list" allowBlank="1" showInputMessage="1" showErrorMessage="1">
          <x14:formula1>
            <xm:f>'LEVY TABLES'!$A$30:$A$33</xm:f>
          </x14:formula1>
          <xm:sqref>G68:G70</xm:sqref>
        </x14:dataValidation>
        <x14:dataValidation type="list" allowBlank="1" showInputMessage="1" showErrorMessage="1" promptTitle="Enter in order Served">
          <x14:formula1>
            <xm:f>OPTIONS!$C$32:$C$35</xm:f>
          </x14:formula1>
          <xm:sqref>H73:H77</xm:sqref>
        </x14:dataValidation>
        <x14:dataValidation type="list" allowBlank="1" showInputMessage="1" showErrorMessage="1">
          <x14:formula1>
            <xm:f>OPTIONS!$C$44:$C$47</xm:f>
          </x14:formula1>
          <xm:sqref>V5</xm:sqref>
        </x14:dataValidation>
        <x14:dataValidation type="list" allowBlank="1" showInputMessage="1" showErrorMessage="1">
          <x14:formula1>
            <xm:f>'LEVY TABLES'!$B$1:$N$1</xm:f>
          </x14:formula1>
          <xm:sqref>F70</xm:sqref>
        </x14:dataValidation>
        <x14:dataValidation type="list" allowBlank="1" showInputMessage="1" showErrorMessage="1">
          <x14:formula1>
            <xm:f>'TAX TABLES'!$Q$9:$Q$24</xm:f>
          </x14:formula1>
          <xm:sqref>H34:U34</xm:sqref>
        </x14:dataValidation>
        <x14:dataValidation type="list" allowBlank="1" showInputMessage="1" showErrorMessage="1">
          <x14:formula1>
            <xm:f>'LEVY TABLES'!$B$1:$N$1</xm:f>
          </x14:formula1>
          <xm:sqref>F68 F69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60"/>
  <sheetViews>
    <sheetView zoomScale="75" zoomScaleNormal="100" workbookViewId="0">
      <selection activeCell="B31" sqref="B31"/>
    </sheetView>
  </sheetViews>
  <sheetFormatPr defaultRowHeight="14.25" x14ac:dyDescent="0.2"/>
  <cols>
    <col min="1" max="1" width="37.140625" style="179" customWidth="1"/>
    <col min="2" max="2" width="14.85546875" style="179" customWidth="1"/>
    <col min="3" max="3" width="17.28515625" style="179" customWidth="1"/>
    <col min="4" max="4" width="13.42578125" style="179" customWidth="1"/>
    <col min="5" max="5" width="15.28515625" style="179" customWidth="1"/>
    <col min="6" max="6" width="13.140625" style="179" customWidth="1"/>
    <col min="7" max="248" width="9.140625" style="179"/>
    <col min="249" max="249" width="7.140625" style="179" customWidth="1"/>
    <col min="250" max="250" width="74.42578125" style="179" bestFit="1" customWidth="1"/>
    <col min="251" max="251" width="16.42578125" style="179" customWidth="1"/>
    <col min="252" max="252" width="14.7109375" style="179" customWidth="1"/>
    <col min="253" max="253" width="6.140625" style="179" customWidth="1"/>
    <col min="254" max="254" width="37.140625" style="179" customWidth="1"/>
    <col min="255" max="255" width="14.85546875" style="179" customWidth="1"/>
    <col min="256" max="256" width="17.28515625" style="179" customWidth="1"/>
    <col min="257" max="257" width="13.42578125" style="179" customWidth="1"/>
    <col min="258" max="258" width="15.28515625" style="179" customWidth="1"/>
    <col min="259" max="259" width="13.140625" style="179" customWidth="1"/>
    <col min="260" max="260" width="16.7109375" style="179" customWidth="1"/>
    <col min="261" max="261" width="11.5703125" style="179" customWidth="1"/>
    <col min="262" max="262" width="11.7109375" style="179" customWidth="1"/>
    <col min="263" max="504" width="9.140625" style="179"/>
    <col min="505" max="505" width="7.140625" style="179" customWidth="1"/>
    <col min="506" max="506" width="74.42578125" style="179" bestFit="1" customWidth="1"/>
    <col min="507" max="507" width="16.42578125" style="179" customWidth="1"/>
    <col min="508" max="508" width="14.7109375" style="179" customWidth="1"/>
    <col min="509" max="509" width="6.140625" style="179" customWidth="1"/>
    <col min="510" max="510" width="37.140625" style="179" customWidth="1"/>
    <col min="511" max="511" width="14.85546875" style="179" customWidth="1"/>
    <col min="512" max="512" width="17.28515625" style="179" customWidth="1"/>
    <col min="513" max="513" width="13.42578125" style="179" customWidth="1"/>
    <col min="514" max="514" width="15.28515625" style="179" customWidth="1"/>
    <col min="515" max="515" width="13.140625" style="179" customWidth="1"/>
    <col min="516" max="516" width="16.7109375" style="179" customWidth="1"/>
    <col min="517" max="517" width="11.5703125" style="179" customWidth="1"/>
    <col min="518" max="518" width="11.7109375" style="179" customWidth="1"/>
    <col min="519" max="760" width="9.140625" style="179"/>
    <col min="761" max="761" width="7.140625" style="179" customWidth="1"/>
    <col min="762" max="762" width="74.42578125" style="179" bestFit="1" customWidth="1"/>
    <col min="763" max="763" width="16.42578125" style="179" customWidth="1"/>
    <col min="764" max="764" width="14.7109375" style="179" customWidth="1"/>
    <col min="765" max="765" width="6.140625" style="179" customWidth="1"/>
    <col min="766" max="766" width="37.140625" style="179" customWidth="1"/>
    <col min="767" max="767" width="14.85546875" style="179" customWidth="1"/>
    <col min="768" max="768" width="17.28515625" style="179" customWidth="1"/>
    <col min="769" max="769" width="13.42578125" style="179" customWidth="1"/>
    <col min="770" max="770" width="15.28515625" style="179" customWidth="1"/>
    <col min="771" max="771" width="13.140625" style="179" customWidth="1"/>
    <col min="772" max="772" width="16.7109375" style="179" customWidth="1"/>
    <col min="773" max="773" width="11.5703125" style="179" customWidth="1"/>
    <col min="774" max="774" width="11.7109375" style="179" customWidth="1"/>
    <col min="775" max="1016" width="9.140625" style="179"/>
    <col min="1017" max="1017" width="7.140625" style="179" customWidth="1"/>
    <col min="1018" max="1018" width="74.42578125" style="179" bestFit="1" customWidth="1"/>
    <col min="1019" max="1019" width="16.42578125" style="179" customWidth="1"/>
    <col min="1020" max="1020" width="14.7109375" style="179" customWidth="1"/>
    <col min="1021" max="1021" width="6.140625" style="179" customWidth="1"/>
    <col min="1022" max="1022" width="37.140625" style="179" customWidth="1"/>
    <col min="1023" max="1023" width="14.85546875" style="179" customWidth="1"/>
    <col min="1024" max="1024" width="17.28515625" style="179" customWidth="1"/>
    <col min="1025" max="1025" width="13.42578125" style="179" customWidth="1"/>
    <col min="1026" max="1026" width="15.28515625" style="179" customWidth="1"/>
    <col min="1027" max="1027" width="13.140625" style="179" customWidth="1"/>
    <col min="1028" max="1028" width="16.7109375" style="179" customWidth="1"/>
    <col min="1029" max="1029" width="11.5703125" style="179" customWidth="1"/>
    <col min="1030" max="1030" width="11.7109375" style="179" customWidth="1"/>
    <col min="1031" max="1272" width="9.140625" style="179"/>
    <col min="1273" max="1273" width="7.140625" style="179" customWidth="1"/>
    <col min="1274" max="1274" width="74.42578125" style="179" bestFit="1" customWidth="1"/>
    <col min="1275" max="1275" width="16.42578125" style="179" customWidth="1"/>
    <col min="1276" max="1276" width="14.7109375" style="179" customWidth="1"/>
    <col min="1277" max="1277" width="6.140625" style="179" customWidth="1"/>
    <col min="1278" max="1278" width="37.140625" style="179" customWidth="1"/>
    <col min="1279" max="1279" width="14.85546875" style="179" customWidth="1"/>
    <col min="1280" max="1280" width="17.28515625" style="179" customWidth="1"/>
    <col min="1281" max="1281" width="13.42578125" style="179" customWidth="1"/>
    <col min="1282" max="1282" width="15.28515625" style="179" customWidth="1"/>
    <col min="1283" max="1283" width="13.140625" style="179" customWidth="1"/>
    <col min="1284" max="1284" width="16.7109375" style="179" customWidth="1"/>
    <col min="1285" max="1285" width="11.5703125" style="179" customWidth="1"/>
    <col min="1286" max="1286" width="11.7109375" style="179" customWidth="1"/>
    <col min="1287" max="1528" width="9.140625" style="179"/>
    <col min="1529" max="1529" width="7.140625" style="179" customWidth="1"/>
    <col min="1530" max="1530" width="74.42578125" style="179" bestFit="1" customWidth="1"/>
    <col min="1531" max="1531" width="16.42578125" style="179" customWidth="1"/>
    <col min="1532" max="1532" width="14.7109375" style="179" customWidth="1"/>
    <col min="1533" max="1533" width="6.140625" style="179" customWidth="1"/>
    <col min="1534" max="1534" width="37.140625" style="179" customWidth="1"/>
    <col min="1535" max="1535" width="14.85546875" style="179" customWidth="1"/>
    <col min="1536" max="1536" width="17.28515625" style="179" customWidth="1"/>
    <col min="1537" max="1537" width="13.42578125" style="179" customWidth="1"/>
    <col min="1538" max="1538" width="15.28515625" style="179" customWidth="1"/>
    <col min="1539" max="1539" width="13.140625" style="179" customWidth="1"/>
    <col min="1540" max="1540" width="16.7109375" style="179" customWidth="1"/>
    <col min="1541" max="1541" width="11.5703125" style="179" customWidth="1"/>
    <col min="1542" max="1542" width="11.7109375" style="179" customWidth="1"/>
    <col min="1543" max="1784" width="9.140625" style="179"/>
    <col min="1785" max="1785" width="7.140625" style="179" customWidth="1"/>
    <col min="1786" max="1786" width="74.42578125" style="179" bestFit="1" customWidth="1"/>
    <col min="1787" max="1787" width="16.42578125" style="179" customWidth="1"/>
    <col min="1788" max="1788" width="14.7109375" style="179" customWidth="1"/>
    <col min="1789" max="1789" width="6.140625" style="179" customWidth="1"/>
    <col min="1790" max="1790" width="37.140625" style="179" customWidth="1"/>
    <col min="1791" max="1791" width="14.85546875" style="179" customWidth="1"/>
    <col min="1792" max="1792" width="17.28515625" style="179" customWidth="1"/>
    <col min="1793" max="1793" width="13.42578125" style="179" customWidth="1"/>
    <col min="1794" max="1794" width="15.28515625" style="179" customWidth="1"/>
    <col min="1795" max="1795" width="13.140625" style="179" customWidth="1"/>
    <col min="1796" max="1796" width="16.7109375" style="179" customWidth="1"/>
    <col min="1797" max="1797" width="11.5703125" style="179" customWidth="1"/>
    <col min="1798" max="1798" width="11.7109375" style="179" customWidth="1"/>
    <col min="1799" max="2040" width="9.140625" style="179"/>
    <col min="2041" max="2041" width="7.140625" style="179" customWidth="1"/>
    <col min="2042" max="2042" width="74.42578125" style="179" bestFit="1" customWidth="1"/>
    <col min="2043" max="2043" width="16.42578125" style="179" customWidth="1"/>
    <col min="2044" max="2044" width="14.7109375" style="179" customWidth="1"/>
    <col min="2045" max="2045" width="6.140625" style="179" customWidth="1"/>
    <col min="2046" max="2046" width="37.140625" style="179" customWidth="1"/>
    <col min="2047" max="2047" width="14.85546875" style="179" customWidth="1"/>
    <col min="2048" max="2048" width="17.28515625" style="179" customWidth="1"/>
    <col min="2049" max="2049" width="13.42578125" style="179" customWidth="1"/>
    <col min="2050" max="2050" width="15.28515625" style="179" customWidth="1"/>
    <col min="2051" max="2051" width="13.140625" style="179" customWidth="1"/>
    <col min="2052" max="2052" width="16.7109375" style="179" customWidth="1"/>
    <col min="2053" max="2053" width="11.5703125" style="179" customWidth="1"/>
    <col min="2054" max="2054" width="11.7109375" style="179" customWidth="1"/>
    <col min="2055" max="2296" width="9.140625" style="179"/>
    <col min="2297" max="2297" width="7.140625" style="179" customWidth="1"/>
    <col min="2298" max="2298" width="74.42578125" style="179" bestFit="1" customWidth="1"/>
    <col min="2299" max="2299" width="16.42578125" style="179" customWidth="1"/>
    <col min="2300" max="2300" width="14.7109375" style="179" customWidth="1"/>
    <col min="2301" max="2301" width="6.140625" style="179" customWidth="1"/>
    <col min="2302" max="2302" width="37.140625" style="179" customWidth="1"/>
    <col min="2303" max="2303" width="14.85546875" style="179" customWidth="1"/>
    <col min="2304" max="2304" width="17.28515625" style="179" customWidth="1"/>
    <col min="2305" max="2305" width="13.42578125" style="179" customWidth="1"/>
    <col min="2306" max="2306" width="15.28515625" style="179" customWidth="1"/>
    <col min="2307" max="2307" width="13.140625" style="179" customWidth="1"/>
    <col min="2308" max="2308" width="16.7109375" style="179" customWidth="1"/>
    <col min="2309" max="2309" width="11.5703125" style="179" customWidth="1"/>
    <col min="2310" max="2310" width="11.7109375" style="179" customWidth="1"/>
    <col min="2311" max="2552" width="9.140625" style="179"/>
    <col min="2553" max="2553" width="7.140625" style="179" customWidth="1"/>
    <col min="2554" max="2554" width="74.42578125" style="179" bestFit="1" customWidth="1"/>
    <col min="2555" max="2555" width="16.42578125" style="179" customWidth="1"/>
    <col min="2556" max="2556" width="14.7109375" style="179" customWidth="1"/>
    <col min="2557" max="2557" width="6.140625" style="179" customWidth="1"/>
    <col min="2558" max="2558" width="37.140625" style="179" customWidth="1"/>
    <col min="2559" max="2559" width="14.85546875" style="179" customWidth="1"/>
    <col min="2560" max="2560" width="17.28515625" style="179" customWidth="1"/>
    <col min="2561" max="2561" width="13.42578125" style="179" customWidth="1"/>
    <col min="2562" max="2562" width="15.28515625" style="179" customWidth="1"/>
    <col min="2563" max="2563" width="13.140625" style="179" customWidth="1"/>
    <col min="2564" max="2564" width="16.7109375" style="179" customWidth="1"/>
    <col min="2565" max="2565" width="11.5703125" style="179" customWidth="1"/>
    <col min="2566" max="2566" width="11.7109375" style="179" customWidth="1"/>
    <col min="2567" max="2808" width="9.140625" style="179"/>
    <col min="2809" max="2809" width="7.140625" style="179" customWidth="1"/>
    <col min="2810" max="2810" width="74.42578125" style="179" bestFit="1" customWidth="1"/>
    <col min="2811" max="2811" width="16.42578125" style="179" customWidth="1"/>
    <col min="2812" max="2812" width="14.7109375" style="179" customWidth="1"/>
    <col min="2813" max="2813" width="6.140625" style="179" customWidth="1"/>
    <col min="2814" max="2814" width="37.140625" style="179" customWidth="1"/>
    <col min="2815" max="2815" width="14.85546875" style="179" customWidth="1"/>
    <col min="2816" max="2816" width="17.28515625" style="179" customWidth="1"/>
    <col min="2817" max="2817" width="13.42578125" style="179" customWidth="1"/>
    <col min="2818" max="2818" width="15.28515625" style="179" customWidth="1"/>
    <col min="2819" max="2819" width="13.140625" style="179" customWidth="1"/>
    <col min="2820" max="2820" width="16.7109375" style="179" customWidth="1"/>
    <col min="2821" max="2821" width="11.5703125" style="179" customWidth="1"/>
    <col min="2822" max="2822" width="11.7109375" style="179" customWidth="1"/>
    <col min="2823" max="3064" width="9.140625" style="179"/>
    <col min="3065" max="3065" width="7.140625" style="179" customWidth="1"/>
    <col min="3066" max="3066" width="74.42578125" style="179" bestFit="1" customWidth="1"/>
    <col min="3067" max="3067" width="16.42578125" style="179" customWidth="1"/>
    <col min="3068" max="3068" width="14.7109375" style="179" customWidth="1"/>
    <col min="3069" max="3069" width="6.140625" style="179" customWidth="1"/>
    <col min="3070" max="3070" width="37.140625" style="179" customWidth="1"/>
    <col min="3071" max="3071" width="14.85546875" style="179" customWidth="1"/>
    <col min="3072" max="3072" width="17.28515625" style="179" customWidth="1"/>
    <col min="3073" max="3073" width="13.42578125" style="179" customWidth="1"/>
    <col min="3074" max="3074" width="15.28515625" style="179" customWidth="1"/>
    <col min="3075" max="3075" width="13.140625" style="179" customWidth="1"/>
    <col min="3076" max="3076" width="16.7109375" style="179" customWidth="1"/>
    <col min="3077" max="3077" width="11.5703125" style="179" customWidth="1"/>
    <col min="3078" max="3078" width="11.7109375" style="179" customWidth="1"/>
    <col min="3079" max="3320" width="9.140625" style="179"/>
    <col min="3321" max="3321" width="7.140625" style="179" customWidth="1"/>
    <col min="3322" max="3322" width="74.42578125" style="179" bestFit="1" customWidth="1"/>
    <col min="3323" max="3323" width="16.42578125" style="179" customWidth="1"/>
    <col min="3324" max="3324" width="14.7109375" style="179" customWidth="1"/>
    <col min="3325" max="3325" width="6.140625" style="179" customWidth="1"/>
    <col min="3326" max="3326" width="37.140625" style="179" customWidth="1"/>
    <col min="3327" max="3327" width="14.85546875" style="179" customWidth="1"/>
    <col min="3328" max="3328" width="17.28515625" style="179" customWidth="1"/>
    <col min="3329" max="3329" width="13.42578125" style="179" customWidth="1"/>
    <col min="3330" max="3330" width="15.28515625" style="179" customWidth="1"/>
    <col min="3331" max="3331" width="13.140625" style="179" customWidth="1"/>
    <col min="3332" max="3332" width="16.7109375" style="179" customWidth="1"/>
    <col min="3333" max="3333" width="11.5703125" style="179" customWidth="1"/>
    <col min="3334" max="3334" width="11.7109375" style="179" customWidth="1"/>
    <col min="3335" max="3576" width="9.140625" style="179"/>
    <col min="3577" max="3577" width="7.140625" style="179" customWidth="1"/>
    <col min="3578" max="3578" width="74.42578125" style="179" bestFit="1" customWidth="1"/>
    <col min="3579" max="3579" width="16.42578125" style="179" customWidth="1"/>
    <col min="3580" max="3580" width="14.7109375" style="179" customWidth="1"/>
    <col min="3581" max="3581" width="6.140625" style="179" customWidth="1"/>
    <col min="3582" max="3582" width="37.140625" style="179" customWidth="1"/>
    <col min="3583" max="3583" width="14.85546875" style="179" customWidth="1"/>
    <col min="3584" max="3584" width="17.28515625" style="179" customWidth="1"/>
    <col min="3585" max="3585" width="13.42578125" style="179" customWidth="1"/>
    <col min="3586" max="3586" width="15.28515625" style="179" customWidth="1"/>
    <col min="3587" max="3587" width="13.140625" style="179" customWidth="1"/>
    <col min="3588" max="3588" width="16.7109375" style="179" customWidth="1"/>
    <col min="3589" max="3589" width="11.5703125" style="179" customWidth="1"/>
    <col min="3590" max="3590" width="11.7109375" style="179" customWidth="1"/>
    <col min="3591" max="3832" width="9.140625" style="179"/>
    <col min="3833" max="3833" width="7.140625" style="179" customWidth="1"/>
    <col min="3834" max="3834" width="74.42578125" style="179" bestFit="1" customWidth="1"/>
    <col min="3835" max="3835" width="16.42578125" style="179" customWidth="1"/>
    <col min="3836" max="3836" width="14.7109375" style="179" customWidth="1"/>
    <col min="3837" max="3837" width="6.140625" style="179" customWidth="1"/>
    <col min="3838" max="3838" width="37.140625" style="179" customWidth="1"/>
    <col min="3839" max="3839" width="14.85546875" style="179" customWidth="1"/>
    <col min="3840" max="3840" width="17.28515625" style="179" customWidth="1"/>
    <col min="3841" max="3841" width="13.42578125" style="179" customWidth="1"/>
    <col min="3842" max="3842" width="15.28515625" style="179" customWidth="1"/>
    <col min="3843" max="3843" width="13.140625" style="179" customWidth="1"/>
    <col min="3844" max="3844" width="16.7109375" style="179" customWidth="1"/>
    <col min="3845" max="3845" width="11.5703125" style="179" customWidth="1"/>
    <col min="3846" max="3846" width="11.7109375" style="179" customWidth="1"/>
    <col min="3847" max="4088" width="9.140625" style="179"/>
    <col min="4089" max="4089" width="7.140625" style="179" customWidth="1"/>
    <col min="4090" max="4090" width="74.42578125" style="179" bestFit="1" customWidth="1"/>
    <col min="4091" max="4091" width="16.42578125" style="179" customWidth="1"/>
    <col min="4092" max="4092" width="14.7109375" style="179" customWidth="1"/>
    <col min="4093" max="4093" width="6.140625" style="179" customWidth="1"/>
    <col min="4094" max="4094" width="37.140625" style="179" customWidth="1"/>
    <col min="4095" max="4095" width="14.85546875" style="179" customWidth="1"/>
    <col min="4096" max="4096" width="17.28515625" style="179" customWidth="1"/>
    <col min="4097" max="4097" width="13.42578125" style="179" customWidth="1"/>
    <col min="4098" max="4098" width="15.28515625" style="179" customWidth="1"/>
    <col min="4099" max="4099" width="13.140625" style="179" customWidth="1"/>
    <col min="4100" max="4100" width="16.7109375" style="179" customWidth="1"/>
    <col min="4101" max="4101" width="11.5703125" style="179" customWidth="1"/>
    <col min="4102" max="4102" width="11.7109375" style="179" customWidth="1"/>
    <col min="4103" max="4344" width="9.140625" style="179"/>
    <col min="4345" max="4345" width="7.140625" style="179" customWidth="1"/>
    <col min="4346" max="4346" width="74.42578125" style="179" bestFit="1" customWidth="1"/>
    <col min="4347" max="4347" width="16.42578125" style="179" customWidth="1"/>
    <col min="4348" max="4348" width="14.7109375" style="179" customWidth="1"/>
    <col min="4349" max="4349" width="6.140625" style="179" customWidth="1"/>
    <col min="4350" max="4350" width="37.140625" style="179" customWidth="1"/>
    <col min="4351" max="4351" width="14.85546875" style="179" customWidth="1"/>
    <col min="4352" max="4352" width="17.28515625" style="179" customWidth="1"/>
    <col min="4353" max="4353" width="13.42578125" style="179" customWidth="1"/>
    <col min="4354" max="4354" width="15.28515625" style="179" customWidth="1"/>
    <col min="4355" max="4355" width="13.140625" style="179" customWidth="1"/>
    <col min="4356" max="4356" width="16.7109375" style="179" customWidth="1"/>
    <col min="4357" max="4357" width="11.5703125" style="179" customWidth="1"/>
    <col min="4358" max="4358" width="11.7109375" style="179" customWidth="1"/>
    <col min="4359" max="4600" width="9.140625" style="179"/>
    <col min="4601" max="4601" width="7.140625" style="179" customWidth="1"/>
    <col min="4602" max="4602" width="74.42578125" style="179" bestFit="1" customWidth="1"/>
    <col min="4603" max="4603" width="16.42578125" style="179" customWidth="1"/>
    <col min="4604" max="4604" width="14.7109375" style="179" customWidth="1"/>
    <col min="4605" max="4605" width="6.140625" style="179" customWidth="1"/>
    <col min="4606" max="4606" width="37.140625" style="179" customWidth="1"/>
    <col min="4607" max="4607" width="14.85546875" style="179" customWidth="1"/>
    <col min="4608" max="4608" width="17.28515625" style="179" customWidth="1"/>
    <col min="4609" max="4609" width="13.42578125" style="179" customWidth="1"/>
    <col min="4610" max="4610" width="15.28515625" style="179" customWidth="1"/>
    <col min="4611" max="4611" width="13.140625" style="179" customWidth="1"/>
    <col min="4612" max="4612" width="16.7109375" style="179" customWidth="1"/>
    <col min="4613" max="4613" width="11.5703125" style="179" customWidth="1"/>
    <col min="4614" max="4614" width="11.7109375" style="179" customWidth="1"/>
    <col min="4615" max="4856" width="9.140625" style="179"/>
    <col min="4857" max="4857" width="7.140625" style="179" customWidth="1"/>
    <col min="4858" max="4858" width="74.42578125" style="179" bestFit="1" customWidth="1"/>
    <col min="4859" max="4859" width="16.42578125" style="179" customWidth="1"/>
    <col min="4860" max="4860" width="14.7109375" style="179" customWidth="1"/>
    <col min="4861" max="4861" width="6.140625" style="179" customWidth="1"/>
    <col min="4862" max="4862" width="37.140625" style="179" customWidth="1"/>
    <col min="4863" max="4863" width="14.85546875" style="179" customWidth="1"/>
    <col min="4864" max="4864" width="17.28515625" style="179" customWidth="1"/>
    <col min="4865" max="4865" width="13.42578125" style="179" customWidth="1"/>
    <col min="4866" max="4866" width="15.28515625" style="179" customWidth="1"/>
    <col min="4867" max="4867" width="13.140625" style="179" customWidth="1"/>
    <col min="4868" max="4868" width="16.7109375" style="179" customWidth="1"/>
    <col min="4869" max="4869" width="11.5703125" style="179" customWidth="1"/>
    <col min="4870" max="4870" width="11.7109375" style="179" customWidth="1"/>
    <col min="4871" max="5112" width="9.140625" style="179"/>
    <col min="5113" max="5113" width="7.140625" style="179" customWidth="1"/>
    <col min="5114" max="5114" width="74.42578125" style="179" bestFit="1" customWidth="1"/>
    <col min="5115" max="5115" width="16.42578125" style="179" customWidth="1"/>
    <col min="5116" max="5116" width="14.7109375" style="179" customWidth="1"/>
    <col min="5117" max="5117" width="6.140625" style="179" customWidth="1"/>
    <col min="5118" max="5118" width="37.140625" style="179" customWidth="1"/>
    <col min="5119" max="5119" width="14.85546875" style="179" customWidth="1"/>
    <col min="5120" max="5120" width="17.28515625" style="179" customWidth="1"/>
    <col min="5121" max="5121" width="13.42578125" style="179" customWidth="1"/>
    <col min="5122" max="5122" width="15.28515625" style="179" customWidth="1"/>
    <col min="5123" max="5123" width="13.140625" style="179" customWidth="1"/>
    <col min="5124" max="5124" width="16.7109375" style="179" customWidth="1"/>
    <col min="5125" max="5125" width="11.5703125" style="179" customWidth="1"/>
    <col min="5126" max="5126" width="11.7109375" style="179" customWidth="1"/>
    <col min="5127" max="5368" width="9.140625" style="179"/>
    <col min="5369" max="5369" width="7.140625" style="179" customWidth="1"/>
    <col min="5370" max="5370" width="74.42578125" style="179" bestFit="1" customWidth="1"/>
    <col min="5371" max="5371" width="16.42578125" style="179" customWidth="1"/>
    <col min="5372" max="5372" width="14.7109375" style="179" customWidth="1"/>
    <col min="5373" max="5373" width="6.140625" style="179" customWidth="1"/>
    <col min="5374" max="5374" width="37.140625" style="179" customWidth="1"/>
    <col min="5375" max="5375" width="14.85546875" style="179" customWidth="1"/>
    <col min="5376" max="5376" width="17.28515625" style="179" customWidth="1"/>
    <col min="5377" max="5377" width="13.42578125" style="179" customWidth="1"/>
    <col min="5378" max="5378" width="15.28515625" style="179" customWidth="1"/>
    <col min="5379" max="5379" width="13.140625" style="179" customWidth="1"/>
    <col min="5380" max="5380" width="16.7109375" style="179" customWidth="1"/>
    <col min="5381" max="5381" width="11.5703125" style="179" customWidth="1"/>
    <col min="5382" max="5382" width="11.7109375" style="179" customWidth="1"/>
    <col min="5383" max="5624" width="9.140625" style="179"/>
    <col min="5625" max="5625" width="7.140625" style="179" customWidth="1"/>
    <col min="5626" max="5626" width="74.42578125" style="179" bestFit="1" customWidth="1"/>
    <col min="5627" max="5627" width="16.42578125" style="179" customWidth="1"/>
    <col min="5628" max="5628" width="14.7109375" style="179" customWidth="1"/>
    <col min="5629" max="5629" width="6.140625" style="179" customWidth="1"/>
    <col min="5630" max="5630" width="37.140625" style="179" customWidth="1"/>
    <col min="5631" max="5631" width="14.85546875" style="179" customWidth="1"/>
    <col min="5632" max="5632" width="17.28515625" style="179" customWidth="1"/>
    <col min="5633" max="5633" width="13.42578125" style="179" customWidth="1"/>
    <col min="5634" max="5634" width="15.28515625" style="179" customWidth="1"/>
    <col min="5635" max="5635" width="13.140625" style="179" customWidth="1"/>
    <col min="5636" max="5636" width="16.7109375" style="179" customWidth="1"/>
    <col min="5637" max="5637" width="11.5703125" style="179" customWidth="1"/>
    <col min="5638" max="5638" width="11.7109375" style="179" customWidth="1"/>
    <col min="5639" max="5880" width="9.140625" style="179"/>
    <col min="5881" max="5881" width="7.140625" style="179" customWidth="1"/>
    <col min="5882" max="5882" width="74.42578125" style="179" bestFit="1" customWidth="1"/>
    <col min="5883" max="5883" width="16.42578125" style="179" customWidth="1"/>
    <col min="5884" max="5884" width="14.7109375" style="179" customWidth="1"/>
    <col min="5885" max="5885" width="6.140625" style="179" customWidth="1"/>
    <col min="5886" max="5886" width="37.140625" style="179" customWidth="1"/>
    <col min="5887" max="5887" width="14.85546875" style="179" customWidth="1"/>
    <col min="5888" max="5888" width="17.28515625" style="179" customWidth="1"/>
    <col min="5889" max="5889" width="13.42578125" style="179" customWidth="1"/>
    <col min="5890" max="5890" width="15.28515625" style="179" customWidth="1"/>
    <col min="5891" max="5891" width="13.140625" style="179" customWidth="1"/>
    <col min="5892" max="5892" width="16.7109375" style="179" customWidth="1"/>
    <col min="5893" max="5893" width="11.5703125" style="179" customWidth="1"/>
    <col min="5894" max="5894" width="11.7109375" style="179" customWidth="1"/>
    <col min="5895" max="6136" width="9.140625" style="179"/>
    <col min="6137" max="6137" width="7.140625" style="179" customWidth="1"/>
    <col min="6138" max="6138" width="74.42578125" style="179" bestFit="1" customWidth="1"/>
    <col min="6139" max="6139" width="16.42578125" style="179" customWidth="1"/>
    <col min="6140" max="6140" width="14.7109375" style="179" customWidth="1"/>
    <col min="6141" max="6141" width="6.140625" style="179" customWidth="1"/>
    <col min="6142" max="6142" width="37.140625" style="179" customWidth="1"/>
    <col min="6143" max="6143" width="14.85546875" style="179" customWidth="1"/>
    <col min="6144" max="6144" width="17.28515625" style="179" customWidth="1"/>
    <col min="6145" max="6145" width="13.42578125" style="179" customWidth="1"/>
    <col min="6146" max="6146" width="15.28515625" style="179" customWidth="1"/>
    <col min="6147" max="6147" width="13.140625" style="179" customWidth="1"/>
    <col min="6148" max="6148" width="16.7109375" style="179" customWidth="1"/>
    <col min="6149" max="6149" width="11.5703125" style="179" customWidth="1"/>
    <col min="6150" max="6150" width="11.7109375" style="179" customWidth="1"/>
    <col min="6151" max="6392" width="9.140625" style="179"/>
    <col min="6393" max="6393" width="7.140625" style="179" customWidth="1"/>
    <col min="6394" max="6394" width="74.42578125" style="179" bestFit="1" customWidth="1"/>
    <col min="6395" max="6395" width="16.42578125" style="179" customWidth="1"/>
    <col min="6396" max="6396" width="14.7109375" style="179" customWidth="1"/>
    <col min="6397" max="6397" width="6.140625" style="179" customWidth="1"/>
    <col min="6398" max="6398" width="37.140625" style="179" customWidth="1"/>
    <col min="6399" max="6399" width="14.85546875" style="179" customWidth="1"/>
    <col min="6400" max="6400" width="17.28515625" style="179" customWidth="1"/>
    <col min="6401" max="6401" width="13.42578125" style="179" customWidth="1"/>
    <col min="6402" max="6402" width="15.28515625" style="179" customWidth="1"/>
    <col min="6403" max="6403" width="13.140625" style="179" customWidth="1"/>
    <col min="6404" max="6404" width="16.7109375" style="179" customWidth="1"/>
    <col min="6405" max="6405" width="11.5703125" style="179" customWidth="1"/>
    <col min="6406" max="6406" width="11.7109375" style="179" customWidth="1"/>
    <col min="6407" max="6648" width="9.140625" style="179"/>
    <col min="6649" max="6649" width="7.140625" style="179" customWidth="1"/>
    <col min="6650" max="6650" width="74.42578125" style="179" bestFit="1" customWidth="1"/>
    <col min="6651" max="6651" width="16.42578125" style="179" customWidth="1"/>
    <col min="6652" max="6652" width="14.7109375" style="179" customWidth="1"/>
    <col min="6653" max="6653" width="6.140625" style="179" customWidth="1"/>
    <col min="6654" max="6654" width="37.140625" style="179" customWidth="1"/>
    <col min="6655" max="6655" width="14.85546875" style="179" customWidth="1"/>
    <col min="6656" max="6656" width="17.28515625" style="179" customWidth="1"/>
    <col min="6657" max="6657" width="13.42578125" style="179" customWidth="1"/>
    <col min="6658" max="6658" width="15.28515625" style="179" customWidth="1"/>
    <col min="6659" max="6659" width="13.140625" style="179" customWidth="1"/>
    <col min="6660" max="6660" width="16.7109375" style="179" customWidth="1"/>
    <col min="6661" max="6661" width="11.5703125" style="179" customWidth="1"/>
    <col min="6662" max="6662" width="11.7109375" style="179" customWidth="1"/>
    <col min="6663" max="6904" width="9.140625" style="179"/>
    <col min="6905" max="6905" width="7.140625" style="179" customWidth="1"/>
    <col min="6906" max="6906" width="74.42578125" style="179" bestFit="1" customWidth="1"/>
    <col min="6907" max="6907" width="16.42578125" style="179" customWidth="1"/>
    <col min="6908" max="6908" width="14.7109375" style="179" customWidth="1"/>
    <col min="6909" max="6909" width="6.140625" style="179" customWidth="1"/>
    <col min="6910" max="6910" width="37.140625" style="179" customWidth="1"/>
    <col min="6911" max="6911" width="14.85546875" style="179" customWidth="1"/>
    <col min="6912" max="6912" width="17.28515625" style="179" customWidth="1"/>
    <col min="6913" max="6913" width="13.42578125" style="179" customWidth="1"/>
    <col min="6914" max="6914" width="15.28515625" style="179" customWidth="1"/>
    <col min="6915" max="6915" width="13.140625" style="179" customWidth="1"/>
    <col min="6916" max="6916" width="16.7109375" style="179" customWidth="1"/>
    <col min="6917" max="6917" width="11.5703125" style="179" customWidth="1"/>
    <col min="6918" max="6918" width="11.7109375" style="179" customWidth="1"/>
    <col min="6919" max="7160" width="9.140625" style="179"/>
    <col min="7161" max="7161" width="7.140625" style="179" customWidth="1"/>
    <col min="7162" max="7162" width="74.42578125" style="179" bestFit="1" customWidth="1"/>
    <col min="7163" max="7163" width="16.42578125" style="179" customWidth="1"/>
    <col min="7164" max="7164" width="14.7109375" style="179" customWidth="1"/>
    <col min="7165" max="7165" width="6.140625" style="179" customWidth="1"/>
    <col min="7166" max="7166" width="37.140625" style="179" customWidth="1"/>
    <col min="7167" max="7167" width="14.85546875" style="179" customWidth="1"/>
    <col min="7168" max="7168" width="17.28515625" style="179" customWidth="1"/>
    <col min="7169" max="7169" width="13.42578125" style="179" customWidth="1"/>
    <col min="7170" max="7170" width="15.28515625" style="179" customWidth="1"/>
    <col min="7171" max="7171" width="13.140625" style="179" customWidth="1"/>
    <col min="7172" max="7172" width="16.7109375" style="179" customWidth="1"/>
    <col min="7173" max="7173" width="11.5703125" style="179" customWidth="1"/>
    <col min="7174" max="7174" width="11.7109375" style="179" customWidth="1"/>
    <col min="7175" max="7416" width="9.140625" style="179"/>
    <col min="7417" max="7417" width="7.140625" style="179" customWidth="1"/>
    <col min="7418" max="7418" width="74.42578125" style="179" bestFit="1" customWidth="1"/>
    <col min="7419" max="7419" width="16.42578125" style="179" customWidth="1"/>
    <col min="7420" max="7420" width="14.7109375" style="179" customWidth="1"/>
    <col min="7421" max="7421" width="6.140625" style="179" customWidth="1"/>
    <col min="7422" max="7422" width="37.140625" style="179" customWidth="1"/>
    <col min="7423" max="7423" width="14.85546875" style="179" customWidth="1"/>
    <col min="7424" max="7424" width="17.28515625" style="179" customWidth="1"/>
    <col min="7425" max="7425" width="13.42578125" style="179" customWidth="1"/>
    <col min="7426" max="7426" width="15.28515625" style="179" customWidth="1"/>
    <col min="7427" max="7427" width="13.140625" style="179" customWidth="1"/>
    <col min="7428" max="7428" width="16.7109375" style="179" customWidth="1"/>
    <col min="7429" max="7429" width="11.5703125" style="179" customWidth="1"/>
    <col min="7430" max="7430" width="11.7109375" style="179" customWidth="1"/>
    <col min="7431" max="7672" width="9.140625" style="179"/>
    <col min="7673" max="7673" width="7.140625" style="179" customWidth="1"/>
    <col min="7674" max="7674" width="74.42578125" style="179" bestFit="1" customWidth="1"/>
    <col min="7675" max="7675" width="16.42578125" style="179" customWidth="1"/>
    <col min="7676" max="7676" width="14.7109375" style="179" customWidth="1"/>
    <col min="7677" max="7677" width="6.140625" style="179" customWidth="1"/>
    <col min="7678" max="7678" width="37.140625" style="179" customWidth="1"/>
    <col min="7679" max="7679" width="14.85546875" style="179" customWidth="1"/>
    <col min="7680" max="7680" width="17.28515625" style="179" customWidth="1"/>
    <col min="7681" max="7681" width="13.42578125" style="179" customWidth="1"/>
    <col min="7682" max="7682" width="15.28515625" style="179" customWidth="1"/>
    <col min="7683" max="7683" width="13.140625" style="179" customWidth="1"/>
    <col min="7684" max="7684" width="16.7109375" style="179" customWidth="1"/>
    <col min="7685" max="7685" width="11.5703125" style="179" customWidth="1"/>
    <col min="7686" max="7686" width="11.7109375" style="179" customWidth="1"/>
    <col min="7687" max="7928" width="9.140625" style="179"/>
    <col min="7929" max="7929" width="7.140625" style="179" customWidth="1"/>
    <col min="7930" max="7930" width="74.42578125" style="179" bestFit="1" customWidth="1"/>
    <col min="7931" max="7931" width="16.42578125" style="179" customWidth="1"/>
    <col min="7932" max="7932" width="14.7109375" style="179" customWidth="1"/>
    <col min="7933" max="7933" width="6.140625" style="179" customWidth="1"/>
    <col min="7934" max="7934" width="37.140625" style="179" customWidth="1"/>
    <col min="7935" max="7935" width="14.85546875" style="179" customWidth="1"/>
    <col min="7936" max="7936" width="17.28515625" style="179" customWidth="1"/>
    <col min="7937" max="7937" width="13.42578125" style="179" customWidth="1"/>
    <col min="7938" max="7938" width="15.28515625" style="179" customWidth="1"/>
    <col min="7939" max="7939" width="13.140625" style="179" customWidth="1"/>
    <col min="7940" max="7940" width="16.7109375" style="179" customWidth="1"/>
    <col min="7941" max="7941" width="11.5703125" style="179" customWidth="1"/>
    <col min="7942" max="7942" width="11.7109375" style="179" customWidth="1"/>
    <col min="7943" max="8184" width="9.140625" style="179"/>
    <col min="8185" max="8185" width="7.140625" style="179" customWidth="1"/>
    <col min="8186" max="8186" width="74.42578125" style="179" bestFit="1" customWidth="1"/>
    <col min="8187" max="8187" width="16.42578125" style="179" customWidth="1"/>
    <col min="8188" max="8188" width="14.7109375" style="179" customWidth="1"/>
    <col min="8189" max="8189" width="6.140625" style="179" customWidth="1"/>
    <col min="8190" max="8190" width="37.140625" style="179" customWidth="1"/>
    <col min="8191" max="8191" width="14.85546875" style="179" customWidth="1"/>
    <col min="8192" max="8192" width="17.28515625" style="179" customWidth="1"/>
    <col min="8193" max="8193" width="13.42578125" style="179" customWidth="1"/>
    <col min="8194" max="8194" width="15.28515625" style="179" customWidth="1"/>
    <col min="8195" max="8195" width="13.140625" style="179" customWidth="1"/>
    <col min="8196" max="8196" width="16.7109375" style="179" customWidth="1"/>
    <col min="8197" max="8197" width="11.5703125" style="179" customWidth="1"/>
    <col min="8198" max="8198" width="11.7109375" style="179" customWidth="1"/>
    <col min="8199" max="8440" width="9.140625" style="179"/>
    <col min="8441" max="8441" width="7.140625" style="179" customWidth="1"/>
    <col min="8442" max="8442" width="74.42578125" style="179" bestFit="1" customWidth="1"/>
    <col min="8443" max="8443" width="16.42578125" style="179" customWidth="1"/>
    <col min="8444" max="8444" width="14.7109375" style="179" customWidth="1"/>
    <col min="8445" max="8445" width="6.140625" style="179" customWidth="1"/>
    <col min="8446" max="8446" width="37.140625" style="179" customWidth="1"/>
    <col min="8447" max="8447" width="14.85546875" style="179" customWidth="1"/>
    <col min="8448" max="8448" width="17.28515625" style="179" customWidth="1"/>
    <col min="8449" max="8449" width="13.42578125" style="179" customWidth="1"/>
    <col min="8450" max="8450" width="15.28515625" style="179" customWidth="1"/>
    <col min="8451" max="8451" width="13.140625" style="179" customWidth="1"/>
    <col min="8452" max="8452" width="16.7109375" style="179" customWidth="1"/>
    <col min="8453" max="8453" width="11.5703125" style="179" customWidth="1"/>
    <col min="8454" max="8454" width="11.7109375" style="179" customWidth="1"/>
    <col min="8455" max="8696" width="9.140625" style="179"/>
    <col min="8697" max="8697" width="7.140625" style="179" customWidth="1"/>
    <col min="8698" max="8698" width="74.42578125" style="179" bestFit="1" customWidth="1"/>
    <col min="8699" max="8699" width="16.42578125" style="179" customWidth="1"/>
    <col min="8700" max="8700" width="14.7109375" style="179" customWidth="1"/>
    <col min="8701" max="8701" width="6.140625" style="179" customWidth="1"/>
    <col min="8702" max="8702" width="37.140625" style="179" customWidth="1"/>
    <col min="8703" max="8703" width="14.85546875" style="179" customWidth="1"/>
    <col min="8704" max="8704" width="17.28515625" style="179" customWidth="1"/>
    <col min="8705" max="8705" width="13.42578125" style="179" customWidth="1"/>
    <col min="8706" max="8706" width="15.28515625" style="179" customWidth="1"/>
    <col min="8707" max="8707" width="13.140625" style="179" customWidth="1"/>
    <col min="8708" max="8708" width="16.7109375" style="179" customWidth="1"/>
    <col min="8709" max="8709" width="11.5703125" style="179" customWidth="1"/>
    <col min="8710" max="8710" width="11.7109375" style="179" customWidth="1"/>
    <col min="8711" max="8952" width="9.140625" style="179"/>
    <col min="8953" max="8953" width="7.140625" style="179" customWidth="1"/>
    <col min="8954" max="8954" width="74.42578125" style="179" bestFit="1" customWidth="1"/>
    <col min="8955" max="8955" width="16.42578125" style="179" customWidth="1"/>
    <col min="8956" max="8956" width="14.7109375" style="179" customWidth="1"/>
    <col min="8957" max="8957" width="6.140625" style="179" customWidth="1"/>
    <col min="8958" max="8958" width="37.140625" style="179" customWidth="1"/>
    <col min="8959" max="8959" width="14.85546875" style="179" customWidth="1"/>
    <col min="8960" max="8960" width="17.28515625" style="179" customWidth="1"/>
    <col min="8961" max="8961" width="13.42578125" style="179" customWidth="1"/>
    <col min="8962" max="8962" width="15.28515625" style="179" customWidth="1"/>
    <col min="8963" max="8963" width="13.140625" style="179" customWidth="1"/>
    <col min="8964" max="8964" width="16.7109375" style="179" customWidth="1"/>
    <col min="8965" max="8965" width="11.5703125" style="179" customWidth="1"/>
    <col min="8966" max="8966" width="11.7109375" style="179" customWidth="1"/>
    <col min="8967" max="9208" width="9.140625" style="179"/>
    <col min="9209" max="9209" width="7.140625" style="179" customWidth="1"/>
    <col min="9210" max="9210" width="74.42578125" style="179" bestFit="1" customWidth="1"/>
    <col min="9211" max="9211" width="16.42578125" style="179" customWidth="1"/>
    <col min="9212" max="9212" width="14.7109375" style="179" customWidth="1"/>
    <col min="9213" max="9213" width="6.140625" style="179" customWidth="1"/>
    <col min="9214" max="9214" width="37.140625" style="179" customWidth="1"/>
    <col min="9215" max="9215" width="14.85546875" style="179" customWidth="1"/>
    <col min="9216" max="9216" width="17.28515625" style="179" customWidth="1"/>
    <col min="9217" max="9217" width="13.42578125" style="179" customWidth="1"/>
    <col min="9218" max="9218" width="15.28515625" style="179" customWidth="1"/>
    <col min="9219" max="9219" width="13.140625" style="179" customWidth="1"/>
    <col min="9220" max="9220" width="16.7109375" style="179" customWidth="1"/>
    <col min="9221" max="9221" width="11.5703125" style="179" customWidth="1"/>
    <col min="9222" max="9222" width="11.7109375" style="179" customWidth="1"/>
    <col min="9223" max="9464" width="9.140625" style="179"/>
    <col min="9465" max="9465" width="7.140625" style="179" customWidth="1"/>
    <col min="9466" max="9466" width="74.42578125" style="179" bestFit="1" customWidth="1"/>
    <col min="9467" max="9467" width="16.42578125" style="179" customWidth="1"/>
    <col min="9468" max="9468" width="14.7109375" style="179" customWidth="1"/>
    <col min="9469" max="9469" width="6.140625" style="179" customWidth="1"/>
    <col min="9470" max="9470" width="37.140625" style="179" customWidth="1"/>
    <col min="9471" max="9471" width="14.85546875" style="179" customWidth="1"/>
    <col min="9472" max="9472" width="17.28515625" style="179" customWidth="1"/>
    <col min="9473" max="9473" width="13.42578125" style="179" customWidth="1"/>
    <col min="9474" max="9474" width="15.28515625" style="179" customWidth="1"/>
    <col min="9475" max="9475" width="13.140625" style="179" customWidth="1"/>
    <col min="9476" max="9476" width="16.7109375" style="179" customWidth="1"/>
    <col min="9477" max="9477" width="11.5703125" style="179" customWidth="1"/>
    <col min="9478" max="9478" width="11.7109375" style="179" customWidth="1"/>
    <col min="9479" max="9720" width="9.140625" style="179"/>
    <col min="9721" max="9721" width="7.140625" style="179" customWidth="1"/>
    <col min="9722" max="9722" width="74.42578125" style="179" bestFit="1" customWidth="1"/>
    <col min="9723" max="9723" width="16.42578125" style="179" customWidth="1"/>
    <col min="9724" max="9724" width="14.7109375" style="179" customWidth="1"/>
    <col min="9725" max="9725" width="6.140625" style="179" customWidth="1"/>
    <col min="9726" max="9726" width="37.140625" style="179" customWidth="1"/>
    <col min="9727" max="9727" width="14.85546875" style="179" customWidth="1"/>
    <col min="9728" max="9728" width="17.28515625" style="179" customWidth="1"/>
    <col min="9729" max="9729" width="13.42578125" style="179" customWidth="1"/>
    <col min="9730" max="9730" width="15.28515625" style="179" customWidth="1"/>
    <col min="9731" max="9731" width="13.140625" style="179" customWidth="1"/>
    <col min="9732" max="9732" width="16.7109375" style="179" customWidth="1"/>
    <col min="9733" max="9733" width="11.5703125" style="179" customWidth="1"/>
    <col min="9734" max="9734" width="11.7109375" style="179" customWidth="1"/>
    <col min="9735" max="9976" width="9.140625" style="179"/>
    <col min="9977" max="9977" width="7.140625" style="179" customWidth="1"/>
    <col min="9978" max="9978" width="74.42578125" style="179" bestFit="1" customWidth="1"/>
    <col min="9979" max="9979" width="16.42578125" style="179" customWidth="1"/>
    <col min="9980" max="9980" width="14.7109375" style="179" customWidth="1"/>
    <col min="9981" max="9981" width="6.140625" style="179" customWidth="1"/>
    <col min="9982" max="9982" width="37.140625" style="179" customWidth="1"/>
    <col min="9983" max="9983" width="14.85546875" style="179" customWidth="1"/>
    <col min="9984" max="9984" width="17.28515625" style="179" customWidth="1"/>
    <col min="9985" max="9985" width="13.42578125" style="179" customWidth="1"/>
    <col min="9986" max="9986" width="15.28515625" style="179" customWidth="1"/>
    <col min="9987" max="9987" width="13.140625" style="179" customWidth="1"/>
    <col min="9988" max="9988" width="16.7109375" style="179" customWidth="1"/>
    <col min="9989" max="9989" width="11.5703125" style="179" customWidth="1"/>
    <col min="9990" max="9990" width="11.7109375" style="179" customWidth="1"/>
    <col min="9991" max="10232" width="9.140625" style="179"/>
    <col min="10233" max="10233" width="7.140625" style="179" customWidth="1"/>
    <col min="10234" max="10234" width="74.42578125" style="179" bestFit="1" customWidth="1"/>
    <col min="10235" max="10235" width="16.42578125" style="179" customWidth="1"/>
    <col min="10236" max="10236" width="14.7109375" style="179" customWidth="1"/>
    <col min="10237" max="10237" width="6.140625" style="179" customWidth="1"/>
    <col min="10238" max="10238" width="37.140625" style="179" customWidth="1"/>
    <col min="10239" max="10239" width="14.85546875" style="179" customWidth="1"/>
    <col min="10240" max="10240" width="17.28515625" style="179" customWidth="1"/>
    <col min="10241" max="10241" width="13.42578125" style="179" customWidth="1"/>
    <col min="10242" max="10242" width="15.28515625" style="179" customWidth="1"/>
    <col min="10243" max="10243" width="13.140625" style="179" customWidth="1"/>
    <col min="10244" max="10244" width="16.7109375" style="179" customWidth="1"/>
    <col min="10245" max="10245" width="11.5703125" style="179" customWidth="1"/>
    <col min="10246" max="10246" width="11.7109375" style="179" customWidth="1"/>
    <col min="10247" max="10488" width="9.140625" style="179"/>
    <col min="10489" max="10489" width="7.140625" style="179" customWidth="1"/>
    <col min="10490" max="10490" width="74.42578125" style="179" bestFit="1" customWidth="1"/>
    <col min="10491" max="10491" width="16.42578125" style="179" customWidth="1"/>
    <col min="10492" max="10492" width="14.7109375" style="179" customWidth="1"/>
    <col min="10493" max="10493" width="6.140625" style="179" customWidth="1"/>
    <col min="10494" max="10494" width="37.140625" style="179" customWidth="1"/>
    <col min="10495" max="10495" width="14.85546875" style="179" customWidth="1"/>
    <col min="10496" max="10496" width="17.28515625" style="179" customWidth="1"/>
    <col min="10497" max="10497" width="13.42578125" style="179" customWidth="1"/>
    <col min="10498" max="10498" width="15.28515625" style="179" customWidth="1"/>
    <col min="10499" max="10499" width="13.140625" style="179" customWidth="1"/>
    <col min="10500" max="10500" width="16.7109375" style="179" customWidth="1"/>
    <col min="10501" max="10501" width="11.5703125" style="179" customWidth="1"/>
    <col min="10502" max="10502" width="11.7109375" style="179" customWidth="1"/>
    <col min="10503" max="10744" width="9.140625" style="179"/>
    <col min="10745" max="10745" width="7.140625" style="179" customWidth="1"/>
    <col min="10746" max="10746" width="74.42578125" style="179" bestFit="1" customWidth="1"/>
    <col min="10747" max="10747" width="16.42578125" style="179" customWidth="1"/>
    <col min="10748" max="10748" width="14.7109375" style="179" customWidth="1"/>
    <col min="10749" max="10749" width="6.140625" style="179" customWidth="1"/>
    <col min="10750" max="10750" width="37.140625" style="179" customWidth="1"/>
    <col min="10751" max="10751" width="14.85546875" style="179" customWidth="1"/>
    <col min="10752" max="10752" width="17.28515625" style="179" customWidth="1"/>
    <col min="10753" max="10753" width="13.42578125" style="179" customWidth="1"/>
    <col min="10754" max="10754" width="15.28515625" style="179" customWidth="1"/>
    <col min="10755" max="10755" width="13.140625" style="179" customWidth="1"/>
    <col min="10756" max="10756" width="16.7109375" style="179" customWidth="1"/>
    <col min="10757" max="10757" width="11.5703125" style="179" customWidth="1"/>
    <col min="10758" max="10758" width="11.7109375" style="179" customWidth="1"/>
    <col min="10759" max="11000" width="9.140625" style="179"/>
    <col min="11001" max="11001" width="7.140625" style="179" customWidth="1"/>
    <col min="11002" max="11002" width="74.42578125" style="179" bestFit="1" customWidth="1"/>
    <col min="11003" max="11003" width="16.42578125" style="179" customWidth="1"/>
    <col min="11004" max="11004" width="14.7109375" style="179" customWidth="1"/>
    <col min="11005" max="11005" width="6.140625" style="179" customWidth="1"/>
    <col min="11006" max="11006" width="37.140625" style="179" customWidth="1"/>
    <col min="11007" max="11007" width="14.85546875" style="179" customWidth="1"/>
    <col min="11008" max="11008" width="17.28515625" style="179" customWidth="1"/>
    <col min="11009" max="11009" width="13.42578125" style="179" customWidth="1"/>
    <col min="11010" max="11010" width="15.28515625" style="179" customWidth="1"/>
    <col min="11011" max="11011" width="13.140625" style="179" customWidth="1"/>
    <col min="11012" max="11012" width="16.7109375" style="179" customWidth="1"/>
    <col min="11013" max="11013" width="11.5703125" style="179" customWidth="1"/>
    <col min="11014" max="11014" width="11.7109375" style="179" customWidth="1"/>
    <col min="11015" max="11256" width="9.140625" style="179"/>
    <col min="11257" max="11257" width="7.140625" style="179" customWidth="1"/>
    <col min="11258" max="11258" width="74.42578125" style="179" bestFit="1" customWidth="1"/>
    <col min="11259" max="11259" width="16.42578125" style="179" customWidth="1"/>
    <col min="11260" max="11260" width="14.7109375" style="179" customWidth="1"/>
    <col min="11261" max="11261" width="6.140625" style="179" customWidth="1"/>
    <col min="11262" max="11262" width="37.140625" style="179" customWidth="1"/>
    <col min="11263" max="11263" width="14.85546875" style="179" customWidth="1"/>
    <col min="11264" max="11264" width="17.28515625" style="179" customWidth="1"/>
    <col min="11265" max="11265" width="13.42578125" style="179" customWidth="1"/>
    <col min="11266" max="11266" width="15.28515625" style="179" customWidth="1"/>
    <col min="11267" max="11267" width="13.140625" style="179" customWidth="1"/>
    <col min="11268" max="11268" width="16.7109375" style="179" customWidth="1"/>
    <col min="11269" max="11269" width="11.5703125" style="179" customWidth="1"/>
    <col min="11270" max="11270" width="11.7109375" style="179" customWidth="1"/>
    <col min="11271" max="11512" width="9.140625" style="179"/>
    <col min="11513" max="11513" width="7.140625" style="179" customWidth="1"/>
    <col min="11514" max="11514" width="74.42578125" style="179" bestFit="1" customWidth="1"/>
    <col min="11515" max="11515" width="16.42578125" style="179" customWidth="1"/>
    <col min="11516" max="11516" width="14.7109375" style="179" customWidth="1"/>
    <col min="11517" max="11517" width="6.140625" style="179" customWidth="1"/>
    <col min="11518" max="11518" width="37.140625" style="179" customWidth="1"/>
    <col min="11519" max="11519" width="14.85546875" style="179" customWidth="1"/>
    <col min="11520" max="11520" width="17.28515625" style="179" customWidth="1"/>
    <col min="11521" max="11521" width="13.42578125" style="179" customWidth="1"/>
    <col min="11522" max="11522" width="15.28515625" style="179" customWidth="1"/>
    <col min="11523" max="11523" width="13.140625" style="179" customWidth="1"/>
    <col min="11524" max="11524" width="16.7109375" style="179" customWidth="1"/>
    <col min="11525" max="11525" width="11.5703125" style="179" customWidth="1"/>
    <col min="11526" max="11526" width="11.7109375" style="179" customWidth="1"/>
    <col min="11527" max="11768" width="9.140625" style="179"/>
    <col min="11769" max="11769" width="7.140625" style="179" customWidth="1"/>
    <col min="11770" max="11770" width="74.42578125" style="179" bestFit="1" customWidth="1"/>
    <col min="11771" max="11771" width="16.42578125" style="179" customWidth="1"/>
    <col min="11772" max="11772" width="14.7109375" style="179" customWidth="1"/>
    <col min="11773" max="11773" width="6.140625" style="179" customWidth="1"/>
    <col min="11774" max="11774" width="37.140625" style="179" customWidth="1"/>
    <col min="11775" max="11775" width="14.85546875" style="179" customWidth="1"/>
    <col min="11776" max="11776" width="17.28515625" style="179" customWidth="1"/>
    <col min="11777" max="11777" width="13.42578125" style="179" customWidth="1"/>
    <col min="11778" max="11778" width="15.28515625" style="179" customWidth="1"/>
    <col min="11779" max="11779" width="13.140625" style="179" customWidth="1"/>
    <col min="11780" max="11780" width="16.7109375" style="179" customWidth="1"/>
    <col min="11781" max="11781" width="11.5703125" style="179" customWidth="1"/>
    <col min="11782" max="11782" width="11.7109375" style="179" customWidth="1"/>
    <col min="11783" max="12024" width="9.140625" style="179"/>
    <col min="12025" max="12025" width="7.140625" style="179" customWidth="1"/>
    <col min="12026" max="12026" width="74.42578125" style="179" bestFit="1" customWidth="1"/>
    <col min="12027" max="12027" width="16.42578125" style="179" customWidth="1"/>
    <col min="12028" max="12028" width="14.7109375" style="179" customWidth="1"/>
    <col min="12029" max="12029" width="6.140625" style="179" customWidth="1"/>
    <col min="12030" max="12030" width="37.140625" style="179" customWidth="1"/>
    <col min="12031" max="12031" width="14.85546875" style="179" customWidth="1"/>
    <col min="12032" max="12032" width="17.28515625" style="179" customWidth="1"/>
    <col min="12033" max="12033" width="13.42578125" style="179" customWidth="1"/>
    <col min="12034" max="12034" width="15.28515625" style="179" customWidth="1"/>
    <col min="12035" max="12035" width="13.140625" style="179" customWidth="1"/>
    <col min="12036" max="12036" width="16.7109375" style="179" customWidth="1"/>
    <col min="12037" max="12037" width="11.5703125" style="179" customWidth="1"/>
    <col min="12038" max="12038" width="11.7109375" style="179" customWidth="1"/>
    <col min="12039" max="12280" width="9.140625" style="179"/>
    <col min="12281" max="12281" width="7.140625" style="179" customWidth="1"/>
    <col min="12282" max="12282" width="74.42578125" style="179" bestFit="1" customWidth="1"/>
    <col min="12283" max="12283" width="16.42578125" style="179" customWidth="1"/>
    <col min="12284" max="12284" width="14.7109375" style="179" customWidth="1"/>
    <col min="12285" max="12285" width="6.140625" style="179" customWidth="1"/>
    <col min="12286" max="12286" width="37.140625" style="179" customWidth="1"/>
    <col min="12287" max="12287" width="14.85546875" style="179" customWidth="1"/>
    <col min="12288" max="12288" width="17.28515625" style="179" customWidth="1"/>
    <col min="12289" max="12289" width="13.42578125" style="179" customWidth="1"/>
    <col min="12290" max="12290" width="15.28515625" style="179" customWidth="1"/>
    <col min="12291" max="12291" width="13.140625" style="179" customWidth="1"/>
    <col min="12292" max="12292" width="16.7109375" style="179" customWidth="1"/>
    <col min="12293" max="12293" width="11.5703125" style="179" customWidth="1"/>
    <col min="12294" max="12294" width="11.7109375" style="179" customWidth="1"/>
    <col min="12295" max="12536" width="9.140625" style="179"/>
    <col min="12537" max="12537" width="7.140625" style="179" customWidth="1"/>
    <col min="12538" max="12538" width="74.42578125" style="179" bestFit="1" customWidth="1"/>
    <col min="12539" max="12539" width="16.42578125" style="179" customWidth="1"/>
    <col min="12540" max="12540" width="14.7109375" style="179" customWidth="1"/>
    <col min="12541" max="12541" width="6.140625" style="179" customWidth="1"/>
    <col min="12542" max="12542" width="37.140625" style="179" customWidth="1"/>
    <col min="12543" max="12543" width="14.85546875" style="179" customWidth="1"/>
    <col min="12544" max="12544" width="17.28515625" style="179" customWidth="1"/>
    <col min="12545" max="12545" width="13.42578125" style="179" customWidth="1"/>
    <col min="12546" max="12546" width="15.28515625" style="179" customWidth="1"/>
    <col min="12547" max="12547" width="13.140625" style="179" customWidth="1"/>
    <col min="12548" max="12548" width="16.7109375" style="179" customWidth="1"/>
    <col min="12549" max="12549" width="11.5703125" style="179" customWidth="1"/>
    <col min="12550" max="12550" width="11.7109375" style="179" customWidth="1"/>
    <col min="12551" max="12792" width="9.140625" style="179"/>
    <col min="12793" max="12793" width="7.140625" style="179" customWidth="1"/>
    <col min="12794" max="12794" width="74.42578125" style="179" bestFit="1" customWidth="1"/>
    <col min="12795" max="12795" width="16.42578125" style="179" customWidth="1"/>
    <col min="12796" max="12796" width="14.7109375" style="179" customWidth="1"/>
    <col min="12797" max="12797" width="6.140625" style="179" customWidth="1"/>
    <col min="12798" max="12798" width="37.140625" style="179" customWidth="1"/>
    <col min="12799" max="12799" width="14.85546875" style="179" customWidth="1"/>
    <col min="12800" max="12800" width="17.28515625" style="179" customWidth="1"/>
    <col min="12801" max="12801" width="13.42578125" style="179" customWidth="1"/>
    <col min="12802" max="12802" width="15.28515625" style="179" customWidth="1"/>
    <col min="12803" max="12803" width="13.140625" style="179" customWidth="1"/>
    <col min="12804" max="12804" width="16.7109375" style="179" customWidth="1"/>
    <col min="12805" max="12805" width="11.5703125" style="179" customWidth="1"/>
    <col min="12806" max="12806" width="11.7109375" style="179" customWidth="1"/>
    <col min="12807" max="13048" width="9.140625" style="179"/>
    <col min="13049" max="13049" width="7.140625" style="179" customWidth="1"/>
    <col min="13050" max="13050" width="74.42578125" style="179" bestFit="1" customWidth="1"/>
    <col min="13051" max="13051" width="16.42578125" style="179" customWidth="1"/>
    <col min="13052" max="13052" width="14.7109375" style="179" customWidth="1"/>
    <col min="13053" max="13053" width="6.140625" style="179" customWidth="1"/>
    <col min="13054" max="13054" width="37.140625" style="179" customWidth="1"/>
    <col min="13055" max="13055" width="14.85546875" style="179" customWidth="1"/>
    <col min="13056" max="13056" width="17.28515625" style="179" customWidth="1"/>
    <col min="13057" max="13057" width="13.42578125" style="179" customWidth="1"/>
    <col min="13058" max="13058" width="15.28515625" style="179" customWidth="1"/>
    <col min="13059" max="13059" width="13.140625" style="179" customWidth="1"/>
    <col min="13060" max="13060" width="16.7109375" style="179" customWidth="1"/>
    <col min="13061" max="13061" width="11.5703125" style="179" customWidth="1"/>
    <col min="13062" max="13062" width="11.7109375" style="179" customWidth="1"/>
    <col min="13063" max="13304" width="9.140625" style="179"/>
    <col min="13305" max="13305" width="7.140625" style="179" customWidth="1"/>
    <col min="13306" max="13306" width="74.42578125" style="179" bestFit="1" customWidth="1"/>
    <col min="13307" max="13307" width="16.42578125" style="179" customWidth="1"/>
    <col min="13308" max="13308" width="14.7109375" style="179" customWidth="1"/>
    <col min="13309" max="13309" width="6.140625" style="179" customWidth="1"/>
    <col min="13310" max="13310" width="37.140625" style="179" customWidth="1"/>
    <col min="13311" max="13311" width="14.85546875" style="179" customWidth="1"/>
    <col min="13312" max="13312" width="17.28515625" style="179" customWidth="1"/>
    <col min="13313" max="13313" width="13.42578125" style="179" customWidth="1"/>
    <col min="13314" max="13314" width="15.28515625" style="179" customWidth="1"/>
    <col min="13315" max="13315" width="13.140625" style="179" customWidth="1"/>
    <col min="13316" max="13316" width="16.7109375" style="179" customWidth="1"/>
    <col min="13317" max="13317" width="11.5703125" style="179" customWidth="1"/>
    <col min="13318" max="13318" width="11.7109375" style="179" customWidth="1"/>
    <col min="13319" max="13560" width="9.140625" style="179"/>
    <col min="13561" max="13561" width="7.140625" style="179" customWidth="1"/>
    <col min="13562" max="13562" width="74.42578125" style="179" bestFit="1" customWidth="1"/>
    <col min="13563" max="13563" width="16.42578125" style="179" customWidth="1"/>
    <col min="13564" max="13564" width="14.7109375" style="179" customWidth="1"/>
    <col min="13565" max="13565" width="6.140625" style="179" customWidth="1"/>
    <col min="13566" max="13566" width="37.140625" style="179" customWidth="1"/>
    <col min="13567" max="13567" width="14.85546875" style="179" customWidth="1"/>
    <col min="13568" max="13568" width="17.28515625" style="179" customWidth="1"/>
    <col min="13569" max="13569" width="13.42578125" style="179" customWidth="1"/>
    <col min="13570" max="13570" width="15.28515625" style="179" customWidth="1"/>
    <col min="13571" max="13571" width="13.140625" style="179" customWidth="1"/>
    <col min="13572" max="13572" width="16.7109375" style="179" customWidth="1"/>
    <col min="13573" max="13573" width="11.5703125" style="179" customWidth="1"/>
    <col min="13574" max="13574" width="11.7109375" style="179" customWidth="1"/>
    <col min="13575" max="13816" width="9.140625" style="179"/>
    <col min="13817" max="13817" width="7.140625" style="179" customWidth="1"/>
    <col min="13818" max="13818" width="74.42578125" style="179" bestFit="1" customWidth="1"/>
    <col min="13819" max="13819" width="16.42578125" style="179" customWidth="1"/>
    <col min="13820" max="13820" width="14.7109375" style="179" customWidth="1"/>
    <col min="13821" max="13821" width="6.140625" style="179" customWidth="1"/>
    <col min="13822" max="13822" width="37.140625" style="179" customWidth="1"/>
    <col min="13823" max="13823" width="14.85546875" style="179" customWidth="1"/>
    <col min="13824" max="13824" width="17.28515625" style="179" customWidth="1"/>
    <col min="13825" max="13825" width="13.42578125" style="179" customWidth="1"/>
    <col min="13826" max="13826" width="15.28515625" style="179" customWidth="1"/>
    <col min="13827" max="13827" width="13.140625" style="179" customWidth="1"/>
    <col min="13828" max="13828" width="16.7109375" style="179" customWidth="1"/>
    <col min="13829" max="13829" width="11.5703125" style="179" customWidth="1"/>
    <col min="13830" max="13830" width="11.7109375" style="179" customWidth="1"/>
    <col min="13831" max="14072" width="9.140625" style="179"/>
    <col min="14073" max="14073" width="7.140625" style="179" customWidth="1"/>
    <col min="14074" max="14074" width="74.42578125" style="179" bestFit="1" customWidth="1"/>
    <col min="14075" max="14075" width="16.42578125" style="179" customWidth="1"/>
    <col min="14076" max="14076" width="14.7109375" style="179" customWidth="1"/>
    <col min="14077" max="14077" width="6.140625" style="179" customWidth="1"/>
    <col min="14078" max="14078" width="37.140625" style="179" customWidth="1"/>
    <col min="14079" max="14079" width="14.85546875" style="179" customWidth="1"/>
    <col min="14080" max="14080" width="17.28515625" style="179" customWidth="1"/>
    <col min="14081" max="14081" width="13.42578125" style="179" customWidth="1"/>
    <col min="14082" max="14082" width="15.28515625" style="179" customWidth="1"/>
    <col min="14083" max="14083" width="13.140625" style="179" customWidth="1"/>
    <col min="14084" max="14084" width="16.7109375" style="179" customWidth="1"/>
    <col min="14085" max="14085" width="11.5703125" style="179" customWidth="1"/>
    <col min="14086" max="14086" width="11.7109375" style="179" customWidth="1"/>
    <col min="14087" max="14328" width="9.140625" style="179"/>
    <col min="14329" max="14329" width="7.140625" style="179" customWidth="1"/>
    <col min="14330" max="14330" width="74.42578125" style="179" bestFit="1" customWidth="1"/>
    <col min="14331" max="14331" width="16.42578125" style="179" customWidth="1"/>
    <col min="14332" max="14332" width="14.7109375" style="179" customWidth="1"/>
    <col min="14333" max="14333" width="6.140625" style="179" customWidth="1"/>
    <col min="14334" max="14334" width="37.140625" style="179" customWidth="1"/>
    <col min="14335" max="14335" width="14.85546875" style="179" customWidth="1"/>
    <col min="14336" max="14336" width="17.28515625" style="179" customWidth="1"/>
    <col min="14337" max="14337" width="13.42578125" style="179" customWidth="1"/>
    <col min="14338" max="14338" width="15.28515625" style="179" customWidth="1"/>
    <col min="14339" max="14339" width="13.140625" style="179" customWidth="1"/>
    <col min="14340" max="14340" width="16.7109375" style="179" customWidth="1"/>
    <col min="14341" max="14341" width="11.5703125" style="179" customWidth="1"/>
    <col min="14342" max="14342" width="11.7109375" style="179" customWidth="1"/>
    <col min="14343" max="14584" width="9.140625" style="179"/>
    <col min="14585" max="14585" width="7.140625" style="179" customWidth="1"/>
    <col min="14586" max="14586" width="74.42578125" style="179" bestFit="1" customWidth="1"/>
    <col min="14587" max="14587" width="16.42578125" style="179" customWidth="1"/>
    <col min="14588" max="14588" width="14.7109375" style="179" customWidth="1"/>
    <col min="14589" max="14589" width="6.140625" style="179" customWidth="1"/>
    <col min="14590" max="14590" width="37.140625" style="179" customWidth="1"/>
    <col min="14591" max="14591" width="14.85546875" style="179" customWidth="1"/>
    <col min="14592" max="14592" width="17.28515625" style="179" customWidth="1"/>
    <col min="14593" max="14593" width="13.42578125" style="179" customWidth="1"/>
    <col min="14594" max="14594" width="15.28515625" style="179" customWidth="1"/>
    <col min="14595" max="14595" width="13.140625" style="179" customWidth="1"/>
    <col min="14596" max="14596" width="16.7109375" style="179" customWidth="1"/>
    <col min="14597" max="14597" width="11.5703125" style="179" customWidth="1"/>
    <col min="14598" max="14598" width="11.7109375" style="179" customWidth="1"/>
    <col min="14599" max="14840" width="9.140625" style="179"/>
    <col min="14841" max="14841" width="7.140625" style="179" customWidth="1"/>
    <col min="14842" max="14842" width="74.42578125" style="179" bestFit="1" customWidth="1"/>
    <col min="14843" max="14843" width="16.42578125" style="179" customWidth="1"/>
    <col min="14844" max="14844" width="14.7109375" style="179" customWidth="1"/>
    <col min="14845" max="14845" width="6.140625" style="179" customWidth="1"/>
    <col min="14846" max="14846" width="37.140625" style="179" customWidth="1"/>
    <col min="14847" max="14847" width="14.85546875" style="179" customWidth="1"/>
    <col min="14848" max="14848" width="17.28515625" style="179" customWidth="1"/>
    <col min="14849" max="14849" width="13.42578125" style="179" customWidth="1"/>
    <col min="14850" max="14850" width="15.28515625" style="179" customWidth="1"/>
    <col min="14851" max="14851" width="13.140625" style="179" customWidth="1"/>
    <col min="14852" max="14852" width="16.7109375" style="179" customWidth="1"/>
    <col min="14853" max="14853" width="11.5703125" style="179" customWidth="1"/>
    <col min="14854" max="14854" width="11.7109375" style="179" customWidth="1"/>
    <col min="14855" max="15096" width="9.140625" style="179"/>
    <col min="15097" max="15097" width="7.140625" style="179" customWidth="1"/>
    <col min="15098" max="15098" width="74.42578125" style="179" bestFit="1" customWidth="1"/>
    <col min="15099" max="15099" width="16.42578125" style="179" customWidth="1"/>
    <col min="15100" max="15100" width="14.7109375" style="179" customWidth="1"/>
    <col min="15101" max="15101" width="6.140625" style="179" customWidth="1"/>
    <col min="15102" max="15102" width="37.140625" style="179" customWidth="1"/>
    <col min="15103" max="15103" width="14.85546875" style="179" customWidth="1"/>
    <col min="15104" max="15104" width="17.28515625" style="179" customWidth="1"/>
    <col min="15105" max="15105" width="13.42578125" style="179" customWidth="1"/>
    <col min="15106" max="15106" width="15.28515625" style="179" customWidth="1"/>
    <col min="15107" max="15107" width="13.140625" style="179" customWidth="1"/>
    <col min="15108" max="15108" width="16.7109375" style="179" customWidth="1"/>
    <col min="15109" max="15109" width="11.5703125" style="179" customWidth="1"/>
    <col min="15110" max="15110" width="11.7109375" style="179" customWidth="1"/>
    <col min="15111" max="15352" width="9.140625" style="179"/>
    <col min="15353" max="15353" width="7.140625" style="179" customWidth="1"/>
    <col min="15354" max="15354" width="74.42578125" style="179" bestFit="1" customWidth="1"/>
    <col min="15355" max="15355" width="16.42578125" style="179" customWidth="1"/>
    <col min="15356" max="15356" width="14.7109375" style="179" customWidth="1"/>
    <col min="15357" max="15357" width="6.140625" style="179" customWidth="1"/>
    <col min="15358" max="15358" width="37.140625" style="179" customWidth="1"/>
    <col min="15359" max="15359" width="14.85546875" style="179" customWidth="1"/>
    <col min="15360" max="15360" width="17.28515625" style="179" customWidth="1"/>
    <col min="15361" max="15361" width="13.42578125" style="179" customWidth="1"/>
    <col min="15362" max="15362" width="15.28515625" style="179" customWidth="1"/>
    <col min="15363" max="15363" width="13.140625" style="179" customWidth="1"/>
    <col min="15364" max="15364" width="16.7109375" style="179" customWidth="1"/>
    <col min="15365" max="15365" width="11.5703125" style="179" customWidth="1"/>
    <col min="15366" max="15366" width="11.7109375" style="179" customWidth="1"/>
    <col min="15367" max="15608" width="9.140625" style="179"/>
    <col min="15609" max="15609" width="7.140625" style="179" customWidth="1"/>
    <col min="15610" max="15610" width="74.42578125" style="179" bestFit="1" customWidth="1"/>
    <col min="15611" max="15611" width="16.42578125" style="179" customWidth="1"/>
    <col min="15612" max="15612" width="14.7109375" style="179" customWidth="1"/>
    <col min="15613" max="15613" width="6.140625" style="179" customWidth="1"/>
    <col min="15614" max="15614" width="37.140625" style="179" customWidth="1"/>
    <col min="15615" max="15615" width="14.85546875" style="179" customWidth="1"/>
    <col min="15616" max="15616" width="17.28515625" style="179" customWidth="1"/>
    <col min="15617" max="15617" width="13.42578125" style="179" customWidth="1"/>
    <col min="15618" max="15618" width="15.28515625" style="179" customWidth="1"/>
    <col min="15619" max="15619" width="13.140625" style="179" customWidth="1"/>
    <col min="15620" max="15620" width="16.7109375" style="179" customWidth="1"/>
    <col min="15621" max="15621" width="11.5703125" style="179" customWidth="1"/>
    <col min="15622" max="15622" width="11.7109375" style="179" customWidth="1"/>
    <col min="15623" max="15864" width="9.140625" style="179"/>
    <col min="15865" max="15865" width="7.140625" style="179" customWidth="1"/>
    <col min="15866" max="15866" width="74.42578125" style="179" bestFit="1" customWidth="1"/>
    <col min="15867" max="15867" width="16.42578125" style="179" customWidth="1"/>
    <col min="15868" max="15868" width="14.7109375" style="179" customWidth="1"/>
    <col min="15869" max="15869" width="6.140625" style="179" customWidth="1"/>
    <col min="15870" max="15870" width="37.140625" style="179" customWidth="1"/>
    <col min="15871" max="15871" width="14.85546875" style="179" customWidth="1"/>
    <col min="15872" max="15872" width="17.28515625" style="179" customWidth="1"/>
    <col min="15873" max="15873" width="13.42578125" style="179" customWidth="1"/>
    <col min="15874" max="15874" width="15.28515625" style="179" customWidth="1"/>
    <col min="15875" max="15875" width="13.140625" style="179" customWidth="1"/>
    <col min="15876" max="15876" width="16.7109375" style="179" customWidth="1"/>
    <col min="15877" max="15877" width="11.5703125" style="179" customWidth="1"/>
    <col min="15878" max="15878" width="11.7109375" style="179" customWidth="1"/>
    <col min="15879" max="16120" width="9.140625" style="179"/>
    <col min="16121" max="16121" width="7.140625" style="179" customWidth="1"/>
    <col min="16122" max="16122" width="74.42578125" style="179" bestFit="1" customWidth="1"/>
    <col min="16123" max="16123" width="16.42578125" style="179" customWidth="1"/>
    <col min="16124" max="16124" width="14.7109375" style="179" customWidth="1"/>
    <col min="16125" max="16125" width="6.140625" style="179" customWidth="1"/>
    <col min="16126" max="16126" width="37.140625" style="179" customWidth="1"/>
    <col min="16127" max="16127" width="14.85546875" style="179" customWidth="1"/>
    <col min="16128" max="16128" width="17.28515625" style="179" customWidth="1"/>
    <col min="16129" max="16129" width="13.42578125" style="179" customWidth="1"/>
    <col min="16130" max="16130" width="15.28515625" style="179" customWidth="1"/>
    <col min="16131" max="16131" width="13.140625" style="179" customWidth="1"/>
    <col min="16132" max="16132" width="16.7109375" style="179" customWidth="1"/>
    <col min="16133" max="16133" width="11.5703125" style="179" customWidth="1"/>
    <col min="16134" max="16134" width="11.7109375" style="179" customWidth="1"/>
    <col min="16135" max="16384" width="9.140625" style="179"/>
  </cols>
  <sheetData>
    <row r="1" spans="1:6" x14ac:dyDescent="0.2">
      <c r="A1" s="179">
        <f>ESTIMATOR!$E$6</f>
        <v>0</v>
      </c>
      <c r="C1" s="179">
        <f>ESTIMATOR!$H$6</f>
        <v>0</v>
      </c>
    </row>
    <row r="7" spans="1:6" ht="28.5" x14ac:dyDescent="0.2">
      <c r="B7" s="183" t="str">
        <f>"Gross Pay"&amp;"          "
&amp;DOLLAR(SUM(B8:B10),2)</f>
        <v>Gross Pay          $0.00</v>
      </c>
      <c r="C7" s="184" t="str">
        <f>"PreTax Deductions"</f>
        <v>PreTax Deductions</v>
      </c>
      <c r="D7" s="184" t="str">
        <f>"Taxes"</f>
        <v>Taxes</v>
      </c>
      <c r="E7" s="184" t="str">
        <f>"PostTax Deductions"</f>
        <v>PostTax Deductions</v>
      </c>
      <c r="F7" s="183" t="str">
        <f>"Net Pay "
&amp;DOLLAR(SUM(F8:F10),2)</f>
        <v>Net Pay $0.00</v>
      </c>
    </row>
    <row r="8" spans="1:6" ht="56.25" customHeight="1" x14ac:dyDescent="0.2">
      <c r="A8" s="179" t="s">
        <v>258</v>
      </c>
      <c r="B8" s="183" t="str">
        <f>"Gross Pay"&amp;"          "
&amp;DOLLAR(SUM(B9:B11),2)</f>
        <v>Gross Pay          $0.00</v>
      </c>
      <c r="C8" s="184" t="str">
        <f>"PreTax Deductions"</f>
        <v>PreTax Deductions</v>
      </c>
      <c r="D8" s="184" t="str">
        <f>"Taxes"</f>
        <v>Taxes</v>
      </c>
      <c r="E8" s="184" t="str">
        <f>"PostTax Deductions"</f>
        <v>PostTax Deductions</v>
      </c>
      <c r="F8" s="183" t="str">
        <f>"Net Pay "
&amp;DOLLAR(SUM(F9:F11),2)</f>
        <v>Net Pay $0.00</v>
      </c>
    </row>
    <row r="9" spans="1:6" x14ac:dyDescent="0.2">
      <c r="A9" s="179" t="s">
        <v>254</v>
      </c>
      <c r="B9" s="251"/>
      <c r="C9" s="251">
        <f>B11+B10-C11</f>
        <v>0</v>
      </c>
      <c r="D9" s="251">
        <f>C9-D11</f>
        <v>0</v>
      </c>
      <c r="E9" s="251">
        <f>D9-E11</f>
        <v>0</v>
      </c>
      <c r="F9" s="251"/>
    </row>
    <row r="10" spans="1:6" x14ac:dyDescent="0.2">
      <c r="A10" s="179" t="s">
        <v>256</v>
      </c>
      <c r="B10" s="251">
        <f>SUM(ESTIMATOR!$AA$26:$AA$30)</f>
        <v>0</v>
      </c>
      <c r="C10" s="251"/>
      <c r="D10" s="251"/>
      <c r="E10" s="251"/>
      <c r="F10" s="251">
        <f>B10</f>
        <v>0</v>
      </c>
    </row>
    <row r="11" spans="1:6" x14ac:dyDescent="0.2">
      <c r="A11" s="179" t="s">
        <v>257</v>
      </c>
      <c r="B11" s="251">
        <f>ROUND(ESTIMATOR!$AA$31-SUM(ESTIMATOR!$AA$26:$AA$30),2)</f>
        <v>0</v>
      </c>
      <c r="C11" s="251">
        <f>ROUND(ESTIMATOR!$AA$46,2)</f>
        <v>0</v>
      </c>
      <c r="D11" s="251">
        <f>ROUND(ESTIMATOR!$AA$54,2)</f>
        <v>0</v>
      </c>
      <c r="E11" s="251">
        <f>ROUND(ESTIMATOR!$AA$86,2)</f>
        <v>0</v>
      </c>
      <c r="F11" s="251">
        <f>ROUND((ESTIMATOR!$AA$88-SUM(ESTIMATOR!$AA$26:$AA$30)),2)</f>
        <v>0</v>
      </c>
    </row>
    <row r="13" spans="1:6" x14ac:dyDescent="0.2">
      <c r="B13" s="181"/>
      <c r="E13" s="252"/>
    </row>
    <row r="34" spans="2:3" x14ac:dyDescent="0.2">
      <c r="B34" s="182"/>
    </row>
    <row r="35" spans="2:3" x14ac:dyDescent="0.2">
      <c r="B35" s="181"/>
    </row>
    <row r="36" spans="2:3" x14ac:dyDescent="0.2">
      <c r="B36" s="181"/>
      <c r="C36" s="181"/>
    </row>
    <row r="37" spans="2:3" x14ac:dyDescent="0.2">
      <c r="B37" s="181"/>
    </row>
    <row r="50" spans="1:14" s="180" customFormat="1" x14ac:dyDescent="0.2">
      <c r="A50" s="179"/>
      <c r="B50" s="179"/>
      <c r="C50" s="179"/>
      <c r="D50" s="179"/>
      <c r="E50" s="179"/>
      <c r="F50" s="179"/>
      <c r="G50" s="179"/>
      <c r="H50" s="179"/>
      <c r="I50" s="179"/>
      <c r="J50" s="179"/>
      <c r="K50" s="179"/>
      <c r="L50" s="179"/>
      <c r="M50" s="179"/>
      <c r="N50" s="179"/>
    </row>
    <row r="51" spans="1:14" s="180" customFormat="1" x14ac:dyDescent="0.2">
      <c r="A51" s="179"/>
      <c r="B51" s="179"/>
      <c r="C51" s="179"/>
      <c r="D51" s="179"/>
      <c r="E51" s="179"/>
      <c r="F51" s="179"/>
      <c r="G51" s="179"/>
      <c r="H51" s="179"/>
      <c r="I51" s="179"/>
      <c r="J51" s="179"/>
      <c r="K51" s="179"/>
      <c r="L51" s="179"/>
      <c r="M51" s="179"/>
      <c r="N51" s="179"/>
    </row>
    <row r="52" spans="1:14" s="180" customFormat="1" x14ac:dyDescent="0.2">
      <c r="A52" s="179"/>
      <c r="B52" s="179"/>
      <c r="C52" s="179"/>
      <c r="D52" s="179"/>
      <c r="E52" s="179"/>
      <c r="F52" s="179"/>
      <c r="G52" s="179"/>
      <c r="H52" s="179"/>
      <c r="I52" s="179"/>
      <c r="J52" s="179"/>
      <c r="K52" s="179"/>
      <c r="L52" s="179"/>
      <c r="M52" s="179"/>
      <c r="N52" s="179"/>
    </row>
    <row r="53" spans="1:14" s="180" customFormat="1" x14ac:dyDescent="0.2">
      <c r="A53" s="179"/>
      <c r="B53" s="179"/>
      <c r="C53" s="179"/>
      <c r="D53" s="179"/>
      <c r="E53" s="179"/>
      <c r="F53" s="179"/>
      <c r="G53" s="179"/>
      <c r="H53" s="179"/>
      <c r="I53" s="179"/>
      <c r="J53" s="179"/>
      <c r="K53" s="179"/>
      <c r="L53" s="179"/>
      <c r="M53" s="179"/>
      <c r="N53" s="179"/>
    </row>
    <row r="54" spans="1:14" s="180" customFormat="1" x14ac:dyDescent="0.2">
      <c r="A54" s="179"/>
      <c r="B54" s="179"/>
      <c r="C54" s="179"/>
      <c r="D54" s="179"/>
      <c r="E54" s="179"/>
      <c r="F54" s="179"/>
      <c r="G54" s="179"/>
      <c r="H54" s="179"/>
      <c r="I54" s="179"/>
      <c r="J54" s="179"/>
      <c r="K54" s="179"/>
      <c r="L54" s="179"/>
      <c r="M54" s="179"/>
      <c r="N54" s="179"/>
    </row>
    <row r="55" spans="1:14" s="180" customFormat="1" x14ac:dyDescent="0.2">
      <c r="A55" s="179"/>
      <c r="B55" s="179"/>
      <c r="C55" s="179"/>
      <c r="D55" s="179"/>
      <c r="E55" s="179"/>
      <c r="F55" s="179"/>
      <c r="G55" s="179"/>
      <c r="H55" s="179"/>
      <c r="I55" s="179"/>
      <c r="J55" s="179"/>
      <c r="K55" s="179"/>
      <c r="L55" s="179"/>
      <c r="M55" s="179"/>
      <c r="N55" s="179"/>
    </row>
    <row r="56" spans="1:14" s="180" customFormat="1" x14ac:dyDescent="0.2">
      <c r="A56" s="179"/>
      <c r="B56" s="179"/>
      <c r="C56" s="179"/>
      <c r="D56" s="179"/>
      <c r="E56" s="179"/>
      <c r="F56" s="179"/>
      <c r="G56" s="179"/>
      <c r="H56" s="179"/>
      <c r="I56" s="179"/>
      <c r="J56" s="179"/>
      <c r="K56" s="179"/>
      <c r="L56" s="179"/>
      <c r="M56" s="179"/>
      <c r="N56" s="179"/>
    </row>
    <row r="57" spans="1:14" s="180" customFormat="1" x14ac:dyDescent="0.2">
      <c r="A57" s="179"/>
      <c r="B57" s="179"/>
      <c r="C57" s="179"/>
      <c r="D57" s="179"/>
      <c r="E57" s="179"/>
      <c r="F57" s="179"/>
      <c r="G57" s="179"/>
      <c r="H57" s="179"/>
      <c r="I57" s="179"/>
      <c r="J57" s="179"/>
      <c r="K57" s="179"/>
      <c r="L57" s="179"/>
      <c r="M57" s="179"/>
      <c r="N57" s="179"/>
    </row>
    <row r="58" spans="1:14" s="180" customFormat="1" x14ac:dyDescent="0.2">
      <c r="A58" s="179"/>
      <c r="B58" s="179"/>
      <c r="C58" s="179"/>
      <c r="D58" s="179"/>
      <c r="E58" s="179"/>
      <c r="F58" s="179"/>
      <c r="G58" s="179"/>
      <c r="H58" s="179"/>
      <c r="I58" s="179"/>
      <c r="J58" s="179"/>
      <c r="K58" s="179"/>
      <c r="L58" s="179"/>
      <c r="M58" s="179"/>
      <c r="N58" s="179"/>
    </row>
    <row r="59" spans="1:14" s="180" customFormat="1" x14ac:dyDescent="0.2">
      <c r="A59" s="179"/>
      <c r="B59" s="179"/>
      <c r="C59" s="179"/>
      <c r="D59" s="179"/>
      <c r="E59" s="179"/>
      <c r="F59" s="179"/>
      <c r="G59" s="179"/>
      <c r="H59" s="179"/>
      <c r="I59" s="179"/>
      <c r="J59" s="179"/>
      <c r="K59" s="179"/>
      <c r="L59" s="179"/>
      <c r="M59" s="179"/>
      <c r="N59" s="179"/>
    </row>
    <row r="60" spans="1:14" s="180" customFormat="1" x14ac:dyDescent="0.2">
      <c r="A60" s="179"/>
      <c r="B60" s="179"/>
      <c r="C60" s="179"/>
      <c r="D60" s="179"/>
      <c r="E60" s="179"/>
      <c r="F60" s="179"/>
      <c r="G60" s="179"/>
      <c r="H60" s="179"/>
      <c r="I60" s="179"/>
      <c r="J60" s="179"/>
      <c r="K60" s="179"/>
      <c r="L60" s="179"/>
      <c r="M60" s="179"/>
      <c r="N60" s="179"/>
    </row>
  </sheetData>
  <sheetProtection password="8E71" sheet="1" objects="1" scenarios="1"/>
  <printOptions horizontalCentered="1" verticalCentered="1"/>
  <pageMargins left="0.25" right="0.25" top="0.25" bottom="0.2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pageSetUpPr fitToPage="1"/>
  </sheetPr>
  <dimension ref="A1:R91"/>
  <sheetViews>
    <sheetView zoomScale="94" zoomScaleNormal="94" workbookViewId="0">
      <pane ySplit="7" topLeftCell="A50" activePane="bottomLeft" state="frozen"/>
      <selection activeCell="V44" sqref="V44"/>
      <selection pane="bottomLeft" activeCell="G34" sqref="G34"/>
    </sheetView>
  </sheetViews>
  <sheetFormatPr defaultRowHeight="15" x14ac:dyDescent="0.25"/>
  <cols>
    <col min="1" max="1" width="2.85546875" customWidth="1"/>
    <col min="2" max="2" width="1.28515625" customWidth="1"/>
    <col min="3" max="3" width="4.28515625" customWidth="1"/>
    <col min="4" max="4" width="4.7109375" customWidth="1"/>
    <col min="5" max="5" width="46.42578125" customWidth="1"/>
    <col min="6" max="6" width="12.140625" customWidth="1"/>
    <col min="7" max="11" width="12.5703125" customWidth="1"/>
    <col min="12" max="12" width="14" customWidth="1"/>
    <col min="13" max="13" width="12.5703125" customWidth="1"/>
    <col min="14" max="14" width="13.85546875" customWidth="1"/>
    <col min="15" max="15" width="4.28515625" customWidth="1"/>
    <col min="16" max="16" width="0.85546875" customWidth="1"/>
    <col min="17" max="17" width="1.7109375" customWidth="1"/>
  </cols>
  <sheetData>
    <row r="1" spans="1:17" x14ac:dyDescent="0.25">
      <c r="A1" s="93"/>
      <c r="B1" s="93"/>
      <c r="C1" s="93"/>
      <c r="D1" s="93"/>
      <c r="E1" s="93"/>
      <c r="F1" s="93"/>
      <c r="G1" s="93"/>
      <c r="H1" s="93"/>
      <c r="I1" s="93"/>
      <c r="J1" s="93"/>
      <c r="K1" s="93"/>
      <c r="L1" s="93"/>
      <c r="M1" s="93"/>
      <c r="N1" s="93"/>
      <c r="O1" s="93"/>
      <c r="P1" s="93"/>
      <c r="Q1" s="93"/>
    </row>
    <row r="2" spans="1:17" ht="5.0999999999999996" customHeight="1" thickBot="1" x14ac:dyDescent="0.3">
      <c r="A2" s="93"/>
      <c r="B2" s="92"/>
      <c r="C2" s="92"/>
      <c r="D2" s="92"/>
      <c r="E2" s="92"/>
      <c r="F2" s="92"/>
      <c r="G2" s="92"/>
      <c r="H2" s="92"/>
      <c r="I2" s="92"/>
      <c r="J2" s="92"/>
      <c r="K2" s="92"/>
      <c r="L2" s="92"/>
      <c r="M2" s="92"/>
      <c r="N2" s="92"/>
      <c r="O2" s="92"/>
      <c r="P2" s="92"/>
      <c r="Q2" s="93"/>
    </row>
    <row r="3" spans="1:17" x14ac:dyDescent="0.25">
      <c r="A3" s="93"/>
      <c r="B3" s="92"/>
      <c r="C3" s="94"/>
      <c r="D3" s="95"/>
      <c r="E3" s="95"/>
      <c r="F3" s="95"/>
      <c r="G3" s="95"/>
      <c r="H3" s="95"/>
      <c r="I3" s="95"/>
      <c r="J3" s="95"/>
      <c r="K3" s="95"/>
      <c r="L3" s="95"/>
      <c r="M3" s="95"/>
      <c r="N3" s="95"/>
      <c r="O3" s="96"/>
      <c r="P3" s="92"/>
      <c r="Q3" s="93"/>
    </row>
    <row r="4" spans="1:17" ht="32.25" thickBot="1" x14ac:dyDescent="0.55000000000000004">
      <c r="A4" s="93"/>
      <c r="B4" s="92"/>
      <c r="C4" s="97"/>
      <c r="D4" s="98" t="s">
        <v>274</v>
      </c>
      <c r="E4" s="99"/>
      <c r="F4" s="99"/>
      <c r="G4" s="99"/>
      <c r="H4" s="99"/>
      <c r="I4" s="99"/>
      <c r="J4" s="99"/>
      <c r="K4" s="99"/>
      <c r="L4" s="99"/>
      <c r="M4" s="99"/>
      <c r="N4" s="99"/>
      <c r="O4" s="100"/>
      <c r="P4" s="92"/>
      <c r="Q4" s="93"/>
    </row>
    <row r="5" spans="1:17" ht="36.75" customHeight="1" x14ac:dyDescent="0.25">
      <c r="A5" s="93"/>
      <c r="B5" s="92"/>
      <c r="C5" s="97"/>
      <c r="D5" s="446" t="s">
        <v>277</v>
      </c>
      <c r="E5" s="447"/>
      <c r="F5" s="457" t="s">
        <v>165</v>
      </c>
      <c r="G5" s="460" t="s">
        <v>164</v>
      </c>
      <c r="H5" s="451" t="s">
        <v>185</v>
      </c>
      <c r="I5" s="451" t="s">
        <v>190</v>
      </c>
      <c r="J5" s="451" t="s">
        <v>186</v>
      </c>
      <c r="K5" s="451" t="s">
        <v>187</v>
      </c>
      <c r="L5" s="448" t="s">
        <v>259</v>
      </c>
      <c r="M5" s="451" t="s">
        <v>238</v>
      </c>
      <c r="N5" s="454" t="s">
        <v>260</v>
      </c>
      <c r="O5" s="100"/>
      <c r="P5" s="92"/>
      <c r="Q5" s="93"/>
    </row>
    <row r="6" spans="1:17" ht="20.100000000000001" customHeight="1" x14ac:dyDescent="0.25">
      <c r="A6" s="93"/>
      <c r="B6" s="92"/>
      <c r="C6" s="97"/>
      <c r="D6" s="446"/>
      <c r="E6" s="447"/>
      <c r="F6" s="458"/>
      <c r="G6" s="461"/>
      <c r="H6" s="452"/>
      <c r="I6" s="452"/>
      <c r="J6" s="452"/>
      <c r="K6" s="452"/>
      <c r="L6" s="449"/>
      <c r="M6" s="452"/>
      <c r="N6" s="455"/>
      <c r="O6" s="100"/>
      <c r="P6" s="92"/>
      <c r="Q6" s="93"/>
    </row>
    <row r="7" spans="1:17" ht="29.25" customHeight="1" thickBot="1" x14ac:dyDescent="0.3">
      <c r="A7" s="93"/>
      <c r="B7" s="92"/>
      <c r="C7" s="97"/>
      <c r="D7" s="118" t="s">
        <v>9</v>
      </c>
      <c r="E7" s="118"/>
      <c r="F7" s="459"/>
      <c r="G7" s="462"/>
      <c r="H7" s="453"/>
      <c r="I7" s="453"/>
      <c r="J7" s="453"/>
      <c r="K7" s="453"/>
      <c r="L7" s="450"/>
      <c r="M7" s="453"/>
      <c r="N7" s="456"/>
      <c r="O7" s="100"/>
      <c r="P7" s="92"/>
      <c r="Q7" s="93"/>
    </row>
    <row r="8" spans="1:17" x14ac:dyDescent="0.25">
      <c r="A8" s="93"/>
      <c r="B8" s="92"/>
      <c r="C8" s="97"/>
      <c r="D8" s="99"/>
      <c r="E8" s="114" t="s">
        <v>281</v>
      </c>
      <c r="F8" s="110">
        <f>ESTIMATOR!$Y8</f>
        <v>0</v>
      </c>
      <c r="G8" s="110">
        <f>ESTIMATOR!$Y8</f>
        <v>0</v>
      </c>
      <c r="H8" s="110">
        <f>ESTIMATOR!$Y8</f>
        <v>0</v>
      </c>
      <c r="I8" s="110">
        <f>ESTIMATOR!$Y8</f>
        <v>0</v>
      </c>
      <c r="J8" s="110">
        <f>ESTIMATOR!$Y8</f>
        <v>0</v>
      </c>
      <c r="K8" s="110">
        <f>ESTIMATOR!$Y8</f>
        <v>0</v>
      </c>
      <c r="L8" s="110">
        <f>ESTIMATOR!$Y8</f>
        <v>0</v>
      </c>
      <c r="M8" s="110">
        <f>ESTIMATOR!$Y8</f>
        <v>0</v>
      </c>
      <c r="N8" s="110">
        <f>ESTIMATOR!$Y8</f>
        <v>0</v>
      </c>
      <c r="O8" s="100"/>
      <c r="P8" s="92"/>
      <c r="Q8" s="93"/>
    </row>
    <row r="9" spans="1:17" x14ac:dyDescent="0.25">
      <c r="A9" s="93"/>
      <c r="B9" s="92"/>
      <c r="C9" s="97"/>
      <c r="D9" s="99"/>
      <c r="E9" s="114" t="s">
        <v>171</v>
      </c>
      <c r="F9" s="110">
        <f>ESTIMATOR!$Y9</f>
        <v>0</v>
      </c>
      <c r="G9" s="110">
        <f>ESTIMATOR!$Y9</f>
        <v>0</v>
      </c>
      <c r="H9" s="110">
        <f>ESTIMATOR!$Y9</f>
        <v>0</v>
      </c>
      <c r="I9" s="110">
        <f>ESTIMATOR!$Y9</f>
        <v>0</v>
      </c>
      <c r="J9" s="90"/>
      <c r="K9" s="90"/>
      <c r="L9" s="110">
        <f>ESTIMATOR!$Y9</f>
        <v>0</v>
      </c>
      <c r="M9" s="110">
        <f>ESTIMATOR!$Y9</f>
        <v>0</v>
      </c>
      <c r="N9" s="110">
        <f>ESTIMATOR!$Y9</f>
        <v>0</v>
      </c>
      <c r="O9" s="100"/>
      <c r="P9" s="92"/>
      <c r="Q9" s="93"/>
    </row>
    <row r="10" spans="1:17" x14ac:dyDescent="0.25">
      <c r="A10" s="93"/>
      <c r="B10" s="92"/>
      <c r="C10" s="97"/>
      <c r="D10" s="99"/>
      <c r="E10" s="114" t="s">
        <v>182</v>
      </c>
      <c r="F10" s="110">
        <f>ESTIMATOR!$Y10</f>
        <v>0</v>
      </c>
      <c r="G10" s="110">
        <f>ESTIMATOR!$Y10</f>
        <v>0</v>
      </c>
      <c r="H10" s="110">
        <f>ESTIMATOR!$Y10</f>
        <v>0</v>
      </c>
      <c r="I10" s="110">
        <f>ESTIMATOR!$Y10</f>
        <v>0</v>
      </c>
      <c r="J10" s="110">
        <f>ESTIMATOR!$Y10</f>
        <v>0</v>
      </c>
      <c r="K10" s="90"/>
      <c r="L10" s="110">
        <f>ESTIMATOR!$Y10</f>
        <v>0</v>
      </c>
      <c r="M10" s="110">
        <f>ESTIMATOR!$Y10</f>
        <v>0</v>
      </c>
      <c r="N10" s="110">
        <f>ESTIMATOR!$Y10</f>
        <v>0</v>
      </c>
      <c r="O10" s="100"/>
      <c r="P10" s="92"/>
      <c r="Q10" s="93"/>
    </row>
    <row r="11" spans="1:17" x14ac:dyDescent="0.25">
      <c r="A11" s="93"/>
      <c r="B11" s="92"/>
      <c r="C11" s="97"/>
      <c r="D11" s="99"/>
      <c r="E11" s="114" t="s">
        <v>183</v>
      </c>
      <c r="F11" s="110">
        <f>ESTIMATOR!$Y11</f>
        <v>0</v>
      </c>
      <c r="G11" s="110">
        <f>ESTIMATOR!$Y11</f>
        <v>0</v>
      </c>
      <c r="H11" s="110">
        <f>ESTIMATOR!$Y11</f>
        <v>0</v>
      </c>
      <c r="I11" s="110">
        <f>ESTIMATOR!$Y11</f>
        <v>0</v>
      </c>
      <c r="J11" s="110">
        <f>ESTIMATOR!$Y11</f>
        <v>0</v>
      </c>
      <c r="K11" s="90"/>
      <c r="L11" s="110">
        <f>ESTIMATOR!$Y11</f>
        <v>0</v>
      </c>
      <c r="M11" s="110">
        <f>ESTIMATOR!$Y11</f>
        <v>0</v>
      </c>
      <c r="N11" s="110">
        <f>ESTIMATOR!$Y11</f>
        <v>0</v>
      </c>
      <c r="O11" s="100"/>
      <c r="P11" s="92"/>
      <c r="Q11" s="93"/>
    </row>
    <row r="12" spans="1:17" x14ac:dyDescent="0.25">
      <c r="A12" s="93"/>
      <c r="B12" s="92"/>
      <c r="C12" s="97"/>
      <c r="D12" s="99"/>
      <c r="E12" s="114" t="s">
        <v>170</v>
      </c>
      <c r="F12" s="110">
        <f>ESTIMATOR!$Y12</f>
        <v>0</v>
      </c>
      <c r="G12" s="110">
        <f>ESTIMATOR!$Y12</f>
        <v>0</v>
      </c>
      <c r="H12" s="110">
        <f>ESTIMATOR!$Y12</f>
        <v>0</v>
      </c>
      <c r="I12" s="90"/>
      <c r="J12" s="90"/>
      <c r="K12" s="90"/>
      <c r="L12" s="110">
        <f>ESTIMATOR!$Y12</f>
        <v>0</v>
      </c>
      <c r="M12" s="110">
        <f>ESTIMATOR!$Y12</f>
        <v>0</v>
      </c>
      <c r="N12" s="110">
        <f>ESTIMATOR!$Y12</f>
        <v>0</v>
      </c>
      <c r="O12" s="100"/>
      <c r="P12" s="92"/>
      <c r="Q12" s="93"/>
    </row>
    <row r="13" spans="1:17" x14ac:dyDescent="0.25">
      <c r="A13" s="93"/>
      <c r="B13" s="92"/>
      <c r="C13" s="97"/>
      <c r="D13" s="99"/>
      <c r="E13" s="114" t="s">
        <v>188</v>
      </c>
      <c r="F13" s="110">
        <f>ESTIMATOR!$Y13</f>
        <v>0</v>
      </c>
      <c r="G13" s="110">
        <f>ESTIMATOR!$Y13</f>
        <v>0</v>
      </c>
      <c r="H13" s="110">
        <f>ESTIMATOR!$Y13</f>
        <v>0</v>
      </c>
      <c r="I13" s="110">
        <f>ESTIMATOR!$Y13</f>
        <v>0</v>
      </c>
      <c r="J13" s="110">
        <f>ESTIMATOR!$Y13</f>
        <v>0</v>
      </c>
      <c r="K13" s="110">
        <f>ESTIMATOR!$Y13</f>
        <v>0</v>
      </c>
      <c r="L13" s="110">
        <f>ESTIMATOR!$Y13</f>
        <v>0</v>
      </c>
      <c r="M13" s="110">
        <f>ESTIMATOR!$Y13</f>
        <v>0</v>
      </c>
      <c r="N13" s="110">
        <f>ESTIMATOR!$Y13</f>
        <v>0</v>
      </c>
      <c r="O13" s="100"/>
      <c r="P13" s="92"/>
      <c r="Q13" s="93"/>
    </row>
    <row r="14" spans="1:17" x14ac:dyDescent="0.25">
      <c r="A14" s="93"/>
      <c r="B14" s="92"/>
      <c r="C14" s="97"/>
      <c r="D14" s="99"/>
      <c r="E14" s="114" t="s">
        <v>322</v>
      </c>
      <c r="F14" s="110">
        <f>ESTIMATOR!$Y14</f>
        <v>0</v>
      </c>
      <c r="G14" s="110">
        <f>ESTIMATOR!$Y14</f>
        <v>0</v>
      </c>
      <c r="H14" s="110">
        <f>ESTIMATOR!$Y14</f>
        <v>0</v>
      </c>
      <c r="I14" s="110">
        <f>ESTIMATOR!$Y14</f>
        <v>0</v>
      </c>
      <c r="J14" s="110">
        <f>ESTIMATOR!$Y14</f>
        <v>0</v>
      </c>
      <c r="K14" s="110">
        <f>ESTIMATOR!$Y14</f>
        <v>0</v>
      </c>
      <c r="L14" s="110">
        <f>ESTIMATOR!$Y14</f>
        <v>0</v>
      </c>
      <c r="M14" s="110">
        <f>ESTIMATOR!$Y14</f>
        <v>0</v>
      </c>
      <c r="N14" s="110">
        <f>ESTIMATOR!$Y14</f>
        <v>0</v>
      </c>
      <c r="O14" s="100"/>
      <c r="P14" s="92"/>
      <c r="Q14" s="93"/>
    </row>
    <row r="15" spans="1:17" x14ac:dyDescent="0.25">
      <c r="A15" s="93"/>
      <c r="B15" s="92"/>
      <c r="C15" s="97"/>
      <c r="D15" s="99"/>
      <c r="E15" s="206" t="s">
        <v>324</v>
      </c>
      <c r="F15" s="110">
        <f>ESTIMATOR!$Y15</f>
        <v>0</v>
      </c>
      <c r="G15" s="110">
        <f>ESTIMATOR!$Y15</f>
        <v>0</v>
      </c>
      <c r="H15" s="90"/>
      <c r="I15" s="90"/>
      <c r="J15" s="90"/>
      <c r="K15" s="90"/>
      <c r="L15" s="110">
        <f>ESTIMATOR!$Y15</f>
        <v>0</v>
      </c>
      <c r="M15" s="110">
        <f>ESTIMATOR!$Y15</f>
        <v>0</v>
      </c>
      <c r="N15" s="110">
        <f>ESTIMATOR!$Y15</f>
        <v>0</v>
      </c>
      <c r="O15" s="100"/>
      <c r="P15" s="92"/>
      <c r="Q15" s="93"/>
    </row>
    <row r="16" spans="1:17" x14ac:dyDescent="0.25">
      <c r="A16" s="93"/>
      <c r="B16" s="92"/>
      <c r="C16" s="97"/>
      <c r="D16" s="99"/>
      <c r="E16" s="114" t="s">
        <v>232</v>
      </c>
      <c r="F16" s="110">
        <f>ESTIMATOR!$Y16</f>
        <v>0</v>
      </c>
      <c r="G16" s="110">
        <f>ESTIMATOR!$Y16</f>
        <v>0</v>
      </c>
      <c r="H16" s="110">
        <f>ESTIMATOR!$Y16</f>
        <v>0</v>
      </c>
      <c r="I16" s="110">
        <f>ESTIMATOR!$Y16</f>
        <v>0</v>
      </c>
      <c r="J16" s="110">
        <f>ESTIMATOR!$Y16</f>
        <v>0</v>
      </c>
      <c r="K16" s="90"/>
      <c r="L16" s="110">
        <f>ESTIMATOR!$Y16</f>
        <v>0</v>
      </c>
      <c r="M16" s="110">
        <f>ESTIMATOR!$Y16</f>
        <v>0</v>
      </c>
      <c r="N16" s="110">
        <f>ESTIMATOR!$Y16</f>
        <v>0</v>
      </c>
      <c r="O16" s="100"/>
      <c r="P16" s="92"/>
      <c r="Q16" s="93"/>
    </row>
    <row r="17" spans="1:17" x14ac:dyDescent="0.25">
      <c r="A17" s="93"/>
      <c r="B17" s="92"/>
      <c r="C17" s="97"/>
      <c r="D17" s="99"/>
      <c r="E17" s="114" t="s">
        <v>189</v>
      </c>
      <c r="F17" s="110">
        <f>ESTIMATOR!$Y17</f>
        <v>0</v>
      </c>
      <c r="G17" s="110">
        <f>ESTIMATOR!$Y17</f>
        <v>0</v>
      </c>
      <c r="H17" s="110">
        <f>ESTIMATOR!$Y17</f>
        <v>0</v>
      </c>
      <c r="I17" s="110">
        <f>ESTIMATOR!$Y17</f>
        <v>0</v>
      </c>
      <c r="J17" s="110">
        <f>ESTIMATOR!$Y17</f>
        <v>0</v>
      </c>
      <c r="K17" s="90"/>
      <c r="L17" s="110">
        <f>ESTIMATOR!$Y17</f>
        <v>0</v>
      </c>
      <c r="M17" s="110">
        <f>ESTIMATOR!$Y17</f>
        <v>0</v>
      </c>
      <c r="N17" s="110">
        <f>ESTIMATOR!$Y17</f>
        <v>0</v>
      </c>
      <c r="O17" s="100"/>
      <c r="P17" s="92"/>
      <c r="Q17" s="93"/>
    </row>
    <row r="18" spans="1:17" x14ac:dyDescent="0.25">
      <c r="A18" s="93"/>
      <c r="B18" s="92"/>
      <c r="C18" s="97"/>
      <c r="D18" s="99"/>
      <c r="E18" s="114" t="s">
        <v>285</v>
      </c>
      <c r="F18" s="110">
        <f>ESTIMATOR!$Y18</f>
        <v>0</v>
      </c>
      <c r="G18" s="110">
        <f>ESTIMATOR!$Y18</f>
        <v>0</v>
      </c>
      <c r="H18" s="110">
        <f>ESTIMATOR!$Y18</f>
        <v>0</v>
      </c>
      <c r="I18" s="110">
        <f>ESTIMATOR!$Y18</f>
        <v>0</v>
      </c>
      <c r="J18" s="110">
        <f>ESTIMATOR!$Y18</f>
        <v>0</v>
      </c>
      <c r="K18" s="90"/>
      <c r="L18" s="110">
        <f>ESTIMATOR!$Y18</f>
        <v>0</v>
      </c>
      <c r="M18" s="110">
        <f>ESTIMATOR!$Y18</f>
        <v>0</v>
      </c>
      <c r="N18" s="110">
        <f>ESTIMATOR!$Y18</f>
        <v>0</v>
      </c>
      <c r="O18" s="100"/>
      <c r="P18" s="92"/>
      <c r="Q18" s="93"/>
    </row>
    <row r="19" spans="1:17" x14ac:dyDescent="0.25">
      <c r="A19" s="93"/>
      <c r="B19" s="92"/>
      <c r="C19" s="97"/>
      <c r="D19" s="99"/>
      <c r="E19" s="206" t="s">
        <v>181</v>
      </c>
      <c r="F19" s="110">
        <f>ESTIMATOR!$Y19</f>
        <v>0</v>
      </c>
      <c r="G19" s="110">
        <f>ESTIMATOR!$Y19</f>
        <v>0</v>
      </c>
      <c r="H19" s="110">
        <f>ESTIMATOR!$Y19</f>
        <v>0</v>
      </c>
      <c r="I19" s="110">
        <f>ESTIMATOR!$Y19</f>
        <v>0</v>
      </c>
      <c r="J19" s="110">
        <f>ESTIMATOR!$Y19</f>
        <v>0</v>
      </c>
      <c r="K19" s="110">
        <f>ESTIMATOR!$Y19</f>
        <v>0</v>
      </c>
      <c r="L19" s="110">
        <f>ESTIMATOR!$Y19</f>
        <v>0</v>
      </c>
      <c r="M19" s="110">
        <f>ESTIMATOR!$Y19</f>
        <v>0</v>
      </c>
      <c r="N19" s="110">
        <f>ESTIMATOR!$Y19</f>
        <v>0</v>
      </c>
      <c r="O19" s="100"/>
      <c r="P19" s="92"/>
      <c r="Q19" s="93"/>
    </row>
    <row r="20" spans="1:17" x14ac:dyDescent="0.25">
      <c r="A20" s="93"/>
      <c r="B20" s="92"/>
      <c r="C20" s="97"/>
      <c r="D20" s="99"/>
      <c r="E20" s="114" t="s">
        <v>228</v>
      </c>
      <c r="F20" s="110">
        <f>ESTIMATOR!$Y20</f>
        <v>0</v>
      </c>
      <c r="G20" s="110">
        <f>ESTIMATOR!$Y20</f>
        <v>0</v>
      </c>
      <c r="H20" s="110">
        <f>IF(ESTIMATOR!$V20="Yes",ESTIMATOR!$Y20,0)</f>
        <v>0</v>
      </c>
      <c r="I20" s="90"/>
      <c r="J20" s="90"/>
      <c r="K20" s="90"/>
      <c r="L20" s="110">
        <f>ESTIMATOR!$Y20</f>
        <v>0</v>
      </c>
      <c r="M20" s="110">
        <f>ESTIMATOR!$Y20</f>
        <v>0</v>
      </c>
      <c r="N20" s="110">
        <f>ESTIMATOR!$Y20</f>
        <v>0</v>
      </c>
      <c r="O20" s="100"/>
      <c r="P20" s="92"/>
      <c r="Q20" s="93"/>
    </row>
    <row r="21" spans="1:17" x14ac:dyDescent="0.25">
      <c r="A21" s="93"/>
      <c r="B21" s="92"/>
      <c r="C21" s="97"/>
      <c r="D21" s="99"/>
      <c r="E21" s="114" t="s">
        <v>229</v>
      </c>
      <c r="F21" s="110">
        <f>ESTIMATOR!$Y21</f>
        <v>0</v>
      </c>
      <c r="G21" s="110">
        <f>ESTIMATOR!$Y21</f>
        <v>0</v>
      </c>
      <c r="H21" s="110">
        <f>IF(ESTIMATOR!$V21="Yes",ESTIMATOR!$Y21,0)</f>
        <v>0</v>
      </c>
      <c r="I21" s="90"/>
      <c r="J21" s="90"/>
      <c r="K21" s="90"/>
      <c r="L21" s="110">
        <f>ESTIMATOR!$Y21</f>
        <v>0</v>
      </c>
      <c r="M21" s="110">
        <f>ESTIMATOR!$Y21</f>
        <v>0</v>
      </c>
      <c r="N21" s="110">
        <f>ESTIMATOR!$Y21</f>
        <v>0</v>
      </c>
      <c r="O21" s="100"/>
      <c r="P21" s="92"/>
      <c r="Q21" s="93"/>
    </row>
    <row r="22" spans="1:17" x14ac:dyDescent="0.25">
      <c r="A22" s="93"/>
      <c r="B22" s="92"/>
      <c r="C22" s="97"/>
      <c r="D22" s="99"/>
      <c r="E22" s="114" t="s">
        <v>230</v>
      </c>
      <c r="F22" s="110">
        <f>ESTIMATOR!$Y22</f>
        <v>0</v>
      </c>
      <c r="G22" s="110">
        <f>ESTIMATOR!$Y22</f>
        <v>0</v>
      </c>
      <c r="H22" s="110">
        <f>IF(ESTIMATOR!$V22="Yes",ESTIMATOR!$Y22,0)</f>
        <v>0</v>
      </c>
      <c r="I22" s="110">
        <f>ESTIMATOR!$Y22</f>
        <v>0</v>
      </c>
      <c r="J22" s="90"/>
      <c r="K22" s="90"/>
      <c r="L22" s="110">
        <f>ESTIMATOR!$Y22</f>
        <v>0</v>
      </c>
      <c r="M22" s="110">
        <f>ESTIMATOR!$Y22</f>
        <v>0</v>
      </c>
      <c r="N22" s="110">
        <f>ESTIMATOR!$Y22</f>
        <v>0</v>
      </c>
      <c r="O22" s="100"/>
      <c r="P22" s="92"/>
      <c r="Q22" s="93"/>
    </row>
    <row r="23" spans="1:17" x14ac:dyDescent="0.25">
      <c r="A23" s="93"/>
      <c r="B23" s="92"/>
      <c r="C23" s="97"/>
      <c r="D23" s="99"/>
      <c r="E23" s="114" t="s">
        <v>231</v>
      </c>
      <c r="F23" s="110">
        <f>ESTIMATOR!$Y23</f>
        <v>0</v>
      </c>
      <c r="G23" s="110">
        <f>ESTIMATOR!$Y23</f>
        <v>0</v>
      </c>
      <c r="H23" s="110">
        <f>IF(ESTIMATOR!$V23="Yes",ESTIMATOR!$Y23,0)</f>
        <v>0</v>
      </c>
      <c r="I23" s="110">
        <f>ESTIMATOR!$Y23</f>
        <v>0</v>
      </c>
      <c r="J23" s="90"/>
      <c r="K23" s="90"/>
      <c r="L23" s="110">
        <f>ESTIMATOR!$Y23</f>
        <v>0</v>
      </c>
      <c r="M23" s="110">
        <f>ESTIMATOR!$Y23</f>
        <v>0</v>
      </c>
      <c r="N23" s="110">
        <f>ESTIMATOR!$Y23</f>
        <v>0</v>
      </c>
      <c r="O23" s="100"/>
      <c r="P23" s="92"/>
      <c r="Q23" s="93"/>
    </row>
    <row r="24" spans="1:17" x14ac:dyDescent="0.25">
      <c r="A24" s="93"/>
      <c r="B24" s="92"/>
      <c r="C24" s="97"/>
      <c r="D24" s="99"/>
      <c r="E24" s="114" t="s">
        <v>272</v>
      </c>
      <c r="F24" s="110">
        <f>ESTIMATOR!$Y24</f>
        <v>0</v>
      </c>
      <c r="G24" s="110">
        <f>ESTIMATOR!$Y24</f>
        <v>0</v>
      </c>
      <c r="H24" s="110">
        <f>IF(ESTIMATOR!$V24="Yes",ESTIMATOR!$Y24,0)</f>
        <v>0</v>
      </c>
      <c r="I24" s="90"/>
      <c r="J24" s="90"/>
      <c r="K24" s="90"/>
      <c r="L24" s="110">
        <f>ESTIMATOR!$Y24</f>
        <v>0</v>
      </c>
      <c r="M24" s="110">
        <f>ESTIMATOR!$Y24</f>
        <v>0</v>
      </c>
      <c r="N24" s="110">
        <f>ESTIMATOR!$Y24</f>
        <v>0</v>
      </c>
      <c r="O24" s="100"/>
      <c r="P24" s="92"/>
      <c r="Q24" s="93"/>
    </row>
    <row r="25" spans="1:17" x14ac:dyDescent="0.25">
      <c r="A25" s="93"/>
      <c r="B25" s="92"/>
      <c r="C25" s="97"/>
      <c r="D25" s="99"/>
      <c r="E25" s="206" t="s">
        <v>273</v>
      </c>
      <c r="F25" s="110">
        <f>ESTIMATOR!$Y25</f>
        <v>0</v>
      </c>
      <c r="G25" s="110">
        <f>ESTIMATOR!$Y25</f>
        <v>0</v>
      </c>
      <c r="H25" s="110">
        <f>IF(ESTIMATOR!$V25="Yes",ESTIMATOR!$Y25,0)</f>
        <v>0</v>
      </c>
      <c r="I25" s="90"/>
      <c r="J25" s="90"/>
      <c r="K25" s="90"/>
      <c r="L25" s="110">
        <f>ESTIMATOR!$Y25</f>
        <v>0</v>
      </c>
      <c r="M25" s="110">
        <f>ESTIMATOR!$Y25</f>
        <v>0</v>
      </c>
      <c r="N25" s="110">
        <f>ESTIMATOR!$Y25</f>
        <v>0</v>
      </c>
      <c r="O25" s="100"/>
      <c r="P25" s="92"/>
      <c r="Q25" s="93"/>
    </row>
    <row r="26" spans="1:17" x14ac:dyDescent="0.25">
      <c r="A26" s="93"/>
      <c r="B26" s="92"/>
      <c r="C26" s="97"/>
      <c r="D26" s="99"/>
      <c r="E26" s="114" t="s">
        <v>184</v>
      </c>
      <c r="F26" s="110">
        <f>ESTIMATOR!$Y26</f>
        <v>0</v>
      </c>
      <c r="G26" s="110">
        <f>ESTIMATOR!$Y26</f>
        <v>0</v>
      </c>
      <c r="H26" s="90"/>
      <c r="I26" s="90"/>
      <c r="J26" s="90"/>
      <c r="K26" s="90"/>
      <c r="L26" s="90"/>
      <c r="M26" s="90"/>
      <c r="N26" s="90"/>
      <c r="O26" s="100"/>
      <c r="P26" s="92"/>
      <c r="Q26" s="93"/>
    </row>
    <row r="27" spans="1:17" x14ac:dyDescent="0.25">
      <c r="A27" s="93"/>
      <c r="B27" s="92"/>
      <c r="C27" s="97"/>
      <c r="D27" s="99"/>
      <c r="E27" s="207" t="s">
        <v>284</v>
      </c>
      <c r="F27" s="110">
        <f>ESTIMATOR!$X$27</f>
        <v>0</v>
      </c>
      <c r="G27" s="110">
        <f>ESTIMATOR!$X$27</f>
        <v>0</v>
      </c>
      <c r="H27" s="90"/>
      <c r="I27" s="90"/>
      <c r="J27" s="90"/>
      <c r="K27" s="90"/>
      <c r="L27" s="90"/>
      <c r="M27" s="90"/>
      <c r="N27" s="90"/>
      <c r="O27" s="100"/>
      <c r="P27" s="92"/>
      <c r="Q27" s="93"/>
    </row>
    <row r="28" spans="1:17" x14ac:dyDescent="0.25">
      <c r="A28" s="93"/>
      <c r="B28" s="92"/>
      <c r="C28" s="97"/>
      <c r="D28" s="99"/>
      <c r="E28" s="114" t="s">
        <v>173</v>
      </c>
      <c r="F28" s="90"/>
      <c r="G28" s="90"/>
      <c r="H28" s="90"/>
      <c r="I28" s="90"/>
      <c r="J28" s="90"/>
      <c r="K28" s="90"/>
      <c r="L28" s="90"/>
      <c r="M28" s="90"/>
      <c r="N28" s="90"/>
      <c r="O28" s="100"/>
      <c r="P28" s="92"/>
      <c r="Q28" s="93"/>
    </row>
    <row r="29" spans="1:17" x14ac:dyDescent="0.25">
      <c r="A29" s="93"/>
      <c r="B29" s="92"/>
      <c r="C29" s="97"/>
      <c r="D29" s="99"/>
      <c r="E29" s="114" t="s">
        <v>174</v>
      </c>
      <c r="F29" s="90"/>
      <c r="G29" s="90"/>
      <c r="H29" s="90"/>
      <c r="I29" s="90"/>
      <c r="J29" s="90"/>
      <c r="K29" s="90"/>
      <c r="L29" s="90"/>
      <c r="M29" s="90"/>
      <c r="N29" s="90"/>
      <c r="O29" s="100"/>
      <c r="P29" s="92"/>
      <c r="Q29" s="93"/>
    </row>
    <row r="30" spans="1:17" x14ac:dyDescent="0.25">
      <c r="A30" s="93"/>
      <c r="B30" s="92"/>
      <c r="C30" s="97"/>
      <c r="D30" s="99"/>
      <c r="E30" s="117" t="s">
        <v>175</v>
      </c>
      <c r="F30" s="90"/>
      <c r="G30" s="90"/>
      <c r="H30" s="90"/>
      <c r="I30" s="90"/>
      <c r="J30" s="90"/>
      <c r="K30" s="90"/>
      <c r="L30" s="90"/>
      <c r="M30" s="90"/>
      <c r="N30" s="90"/>
      <c r="O30" s="100"/>
      <c r="P30" s="92"/>
      <c r="Q30" s="93"/>
    </row>
    <row r="31" spans="1:17" x14ac:dyDescent="0.25">
      <c r="A31" s="93"/>
      <c r="B31" s="92"/>
      <c r="C31" s="97"/>
      <c r="D31" s="99"/>
      <c r="E31" s="216" t="s">
        <v>0</v>
      </c>
      <c r="F31" s="172">
        <f t="shared" ref="F31:N31" si="0">SUM(F8:F30)</f>
        <v>0</v>
      </c>
      <c r="G31" s="172">
        <f t="shared" si="0"/>
        <v>0</v>
      </c>
      <c r="H31" s="220">
        <f>SUM(H8:H30)</f>
        <v>0</v>
      </c>
      <c r="I31" s="220">
        <f t="shared" si="0"/>
        <v>0</v>
      </c>
      <c r="J31" s="220">
        <f t="shared" si="0"/>
        <v>0</v>
      </c>
      <c r="K31" s="220">
        <f t="shared" si="0"/>
        <v>0</v>
      </c>
      <c r="L31" s="172">
        <f>SUM(L8:L30)</f>
        <v>0</v>
      </c>
      <c r="M31" s="172">
        <f t="shared" si="0"/>
        <v>0</v>
      </c>
      <c r="N31" s="172">
        <f t="shared" si="0"/>
        <v>0</v>
      </c>
      <c r="O31" s="100"/>
      <c r="P31" s="92"/>
      <c r="Q31" s="93"/>
    </row>
    <row r="32" spans="1:17" x14ac:dyDescent="0.25">
      <c r="A32" s="93"/>
      <c r="B32" s="92"/>
      <c r="C32" s="97"/>
      <c r="D32" s="99"/>
      <c r="E32" s="99"/>
      <c r="F32" s="86"/>
      <c r="G32" s="86"/>
      <c r="H32" s="99"/>
      <c r="I32" s="99"/>
      <c r="J32" s="99"/>
      <c r="K32" s="99"/>
      <c r="L32" s="86"/>
      <c r="M32" s="86"/>
      <c r="N32" s="86"/>
      <c r="O32" s="100"/>
      <c r="P32" s="92"/>
      <c r="Q32" s="93"/>
    </row>
    <row r="33" spans="1:18" x14ac:dyDescent="0.25">
      <c r="A33" s="93"/>
      <c r="B33" s="92"/>
      <c r="C33" s="97"/>
      <c r="D33" s="118" t="s">
        <v>148</v>
      </c>
      <c r="E33" s="116"/>
      <c r="F33" s="162"/>
      <c r="G33" s="162"/>
      <c r="H33" s="116"/>
      <c r="I33" s="116"/>
      <c r="J33" s="116"/>
      <c r="K33" s="204"/>
      <c r="L33" s="90"/>
      <c r="M33" s="90"/>
      <c r="N33" s="90"/>
      <c r="O33" s="100"/>
      <c r="P33" s="92"/>
      <c r="Q33" s="93"/>
    </row>
    <row r="34" spans="1:18" x14ac:dyDescent="0.25">
      <c r="A34" s="93"/>
      <c r="B34" s="92"/>
      <c r="C34" s="97"/>
      <c r="D34" s="99">
        <v>1</v>
      </c>
      <c r="E34" s="114" t="s">
        <v>24</v>
      </c>
      <c r="F34" s="110">
        <f>ESTIMATOR!$Y34</f>
        <v>0</v>
      </c>
      <c r="G34" s="90"/>
      <c r="H34" s="106"/>
      <c r="I34" s="106"/>
      <c r="J34" s="106"/>
      <c r="K34" s="106"/>
      <c r="L34" s="110">
        <f>ESTIMATOR!$Y34</f>
        <v>0</v>
      </c>
      <c r="M34" s="110">
        <f>ESTIMATOR!$Y34</f>
        <v>0</v>
      </c>
      <c r="N34" s="110">
        <f>ESTIMATOR!$Y34</f>
        <v>0</v>
      </c>
      <c r="O34" s="100"/>
      <c r="P34" s="92"/>
      <c r="Q34" s="93"/>
    </row>
    <row r="35" spans="1:18" x14ac:dyDescent="0.25">
      <c r="A35" s="93"/>
      <c r="B35" s="92"/>
      <c r="C35" s="97"/>
      <c r="D35" s="99">
        <v>3</v>
      </c>
      <c r="E35" s="206" t="s">
        <v>138</v>
      </c>
      <c r="F35" s="111">
        <f>ESTIMATOR!$Y35</f>
        <v>0</v>
      </c>
      <c r="G35" s="91"/>
      <c r="H35" s="117"/>
      <c r="I35" s="116"/>
      <c r="J35" s="116"/>
      <c r="K35" s="204"/>
      <c r="L35" s="110">
        <f>ESTIMATOR!$Y35</f>
        <v>0</v>
      </c>
      <c r="M35" s="110">
        <f>ESTIMATOR!$Y35</f>
        <v>0</v>
      </c>
      <c r="N35" s="110">
        <f>ESTIMATOR!$Y35</f>
        <v>0</v>
      </c>
      <c r="O35" s="100"/>
      <c r="P35" s="92"/>
      <c r="Q35" s="93"/>
    </row>
    <row r="36" spans="1:18" x14ac:dyDescent="0.25">
      <c r="A36" s="93"/>
      <c r="B36" s="92"/>
      <c r="C36" s="97"/>
      <c r="D36" s="99">
        <v>2</v>
      </c>
      <c r="E36" s="113" t="s">
        <v>139</v>
      </c>
      <c r="F36" s="110">
        <f>ESTIMATOR!$Y36</f>
        <v>0</v>
      </c>
      <c r="G36" s="110">
        <f>ESTIMATOR!$Y36</f>
        <v>0</v>
      </c>
      <c r="H36" s="99"/>
      <c r="I36" s="99"/>
      <c r="J36" s="99"/>
      <c r="K36" s="99"/>
      <c r="L36" s="90"/>
      <c r="M36" s="302">
        <f>ESTIMATOR!$Y36</f>
        <v>0</v>
      </c>
      <c r="N36" s="110">
        <f>ESTIMATOR!$Y36</f>
        <v>0</v>
      </c>
      <c r="O36" s="100"/>
      <c r="P36" s="92"/>
      <c r="Q36" s="93"/>
      <c r="R36" s="186"/>
    </row>
    <row r="37" spans="1:18" x14ac:dyDescent="0.25">
      <c r="A37" s="93"/>
      <c r="B37" s="92"/>
      <c r="C37" s="97"/>
      <c r="D37" s="99">
        <v>2</v>
      </c>
      <c r="E37" s="113" t="s">
        <v>140</v>
      </c>
      <c r="F37" s="110">
        <f>ESTIMATOR!$Y37</f>
        <v>0</v>
      </c>
      <c r="G37" s="110">
        <f>ESTIMATOR!$Y37</f>
        <v>0</v>
      </c>
      <c r="H37" s="99"/>
      <c r="I37" s="99"/>
      <c r="J37" s="99"/>
      <c r="K37" s="99"/>
      <c r="L37" s="90"/>
      <c r="M37" s="302">
        <f>ESTIMATOR!$Y37</f>
        <v>0</v>
      </c>
      <c r="N37" s="110">
        <f>ESTIMATOR!$Y37</f>
        <v>0</v>
      </c>
      <c r="O37" s="100"/>
      <c r="P37" s="92"/>
      <c r="Q37" s="93"/>
    </row>
    <row r="38" spans="1:18" x14ac:dyDescent="0.25">
      <c r="A38" s="93"/>
      <c r="B38" s="92"/>
      <c r="C38" s="97"/>
      <c r="D38" s="99">
        <v>4</v>
      </c>
      <c r="E38" s="113" t="s">
        <v>141</v>
      </c>
      <c r="F38" s="110">
        <f>ESTIMATOR!$Y38</f>
        <v>0</v>
      </c>
      <c r="G38" s="110">
        <f>ESTIMATOR!$Y38</f>
        <v>0</v>
      </c>
      <c r="H38" s="99"/>
      <c r="I38" s="99"/>
      <c r="J38" s="99"/>
      <c r="K38" s="99"/>
      <c r="L38" s="90"/>
      <c r="M38" s="302">
        <f>ESTIMATOR!$Y38</f>
        <v>0</v>
      </c>
      <c r="N38" s="110">
        <f>ESTIMATOR!$Y38</f>
        <v>0</v>
      </c>
      <c r="O38" s="100"/>
      <c r="P38" s="92"/>
      <c r="Q38" s="93"/>
    </row>
    <row r="39" spans="1:18" x14ac:dyDescent="0.25">
      <c r="A39" s="93"/>
      <c r="B39" s="92"/>
      <c r="C39" s="97"/>
      <c r="D39" s="99">
        <v>2</v>
      </c>
      <c r="E39" s="113" t="s">
        <v>142</v>
      </c>
      <c r="F39" s="110">
        <f>ESTIMATOR!$Y39</f>
        <v>0</v>
      </c>
      <c r="G39" s="110">
        <f>ESTIMATOR!$Y39</f>
        <v>0</v>
      </c>
      <c r="H39" s="99"/>
      <c r="I39" s="99"/>
      <c r="J39" s="99"/>
      <c r="K39" s="99"/>
      <c r="L39" s="90"/>
      <c r="M39" s="302">
        <f>ESTIMATOR!$Y39</f>
        <v>0</v>
      </c>
      <c r="N39" s="90"/>
      <c r="O39" s="100"/>
      <c r="P39" s="92"/>
      <c r="Q39" s="93"/>
    </row>
    <row r="40" spans="1:18" x14ac:dyDescent="0.25">
      <c r="A40" s="93"/>
      <c r="B40" s="92"/>
      <c r="C40" s="97"/>
      <c r="D40" s="99">
        <v>2</v>
      </c>
      <c r="E40" s="191" t="s">
        <v>305</v>
      </c>
      <c r="F40" s="110">
        <f>ESTIMATOR!$Y40</f>
        <v>0</v>
      </c>
      <c r="G40" s="110">
        <f>ESTIMATOR!$Y40</f>
        <v>0</v>
      </c>
      <c r="H40" s="99"/>
      <c r="I40" s="99"/>
      <c r="J40" s="99"/>
      <c r="K40" s="99"/>
      <c r="L40" s="90"/>
      <c r="M40" s="302">
        <f>ESTIMATOR!$Y40</f>
        <v>0</v>
      </c>
      <c r="N40" s="90"/>
      <c r="O40" s="100"/>
      <c r="P40" s="92"/>
      <c r="Q40" s="93"/>
    </row>
    <row r="41" spans="1:18" x14ac:dyDescent="0.25">
      <c r="A41" s="93"/>
      <c r="B41" s="92"/>
      <c r="C41" s="97"/>
      <c r="D41" s="99">
        <v>2</v>
      </c>
      <c r="E41" s="115" t="s">
        <v>162</v>
      </c>
      <c r="F41" s="111">
        <f>ESTIMATOR!$Y41</f>
        <v>0</v>
      </c>
      <c r="G41" s="111">
        <f>ESTIMATOR!$Y41</f>
        <v>0</v>
      </c>
      <c r="H41" s="116"/>
      <c r="I41" s="116"/>
      <c r="J41" s="116"/>
      <c r="K41" s="204"/>
      <c r="L41" s="90"/>
      <c r="M41" s="302">
        <f>ESTIMATOR!$Y41</f>
        <v>0</v>
      </c>
      <c r="N41" s="90"/>
      <c r="O41" s="100"/>
      <c r="P41" s="92"/>
      <c r="Q41" s="93"/>
    </row>
    <row r="42" spans="1:18" x14ac:dyDescent="0.25">
      <c r="A42" s="93"/>
      <c r="B42" s="92"/>
      <c r="C42" s="97"/>
      <c r="D42" s="99">
        <v>9</v>
      </c>
      <c r="E42" s="113" t="s">
        <v>179</v>
      </c>
      <c r="F42" s="110">
        <f>ESTIMATOR!$Y42</f>
        <v>0</v>
      </c>
      <c r="G42" s="90"/>
      <c r="H42" s="99"/>
      <c r="I42" s="99"/>
      <c r="J42" s="99"/>
      <c r="K42" s="99"/>
      <c r="L42" s="90"/>
      <c r="M42" s="302">
        <f>ESTIMATOR!$Y42</f>
        <v>0</v>
      </c>
      <c r="N42" s="90"/>
      <c r="O42" s="100"/>
      <c r="P42" s="92"/>
      <c r="Q42" s="93"/>
    </row>
    <row r="43" spans="1:18" x14ac:dyDescent="0.25">
      <c r="A43" s="93"/>
      <c r="B43" s="92"/>
      <c r="C43" s="97"/>
      <c r="D43" s="99">
        <v>8</v>
      </c>
      <c r="E43" s="114" t="s">
        <v>309</v>
      </c>
      <c r="F43" s="110">
        <f>ESTIMATOR!$Y43</f>
        <v>0</v>
      </c>
      <c r="G43" s="90"/>
      <c r="H43" s="99"/>
      <c r="I43" s="99"/>
      <c r="J43" s="99"/>
      <c r="K43" s="99"/>
      <c r="L43" s="90"/>
      <c r="M43" s="302">
        <f>ESTIMATOR!$Y43</f>
        <v>0</v>
      </c>
      <c r="N43" s="90"/>
      <c r="O43" s="100"/>
      <c r="P43" s="92"/>
      <c r="Q43" s="93"/>
    </row>
    <row r="44" spans="1:18" x14ac:dyDescent="0.25">
      <c r="A44" s="93"/>
      <c r="B44" s="92"/>
      <c r="C44" s="97"/>
      <c r="D44" s="99">
        <v>9</v>
      </c>
      <c r="E44" s="113" t="s">
        <v>144</v>
      </c>
      <c r="F44" s="110">
        <f>ESTIMATOR!$Y44</f>
        <v>0</v>
      </c>
      <c r="G44" s="90"/>
      <c r="H44" s="99"/>
      <c r="I44" s="99"/>
      <c r="J44" s="99"/>
      <c r="K44" s="99"/>
      <c r="L44" s="90"/>
      <c r="M44" s="302">
        <f>ESTIMATOR!$Y44</f>
        <v>0</v>
      </c>
      <c r="N44" s="90"/>
      <c r="O44" s="100"/>
      <c r="P44" s="92"/>
      <c r="Q44" s="93"/>
    </row>
    <row r="45" spans="1:18" x14ac:dyDescent="0.25">
      <c r="A45" s="93"/>
      <c r="B45" s="92"/>
      <c r="C45" s="97"/>
      <c r="D45" s="99">
        <v>9</v>
      </c>
      <c r="E45" s="115" t="s">
        <v>308</v>
      </c>
      <c r="F45" s="110">
        <f>ESTIMATOR!$Y45</f>
        <v>0</v>
      </c>
      <c r="G45" s="91"/>
      <c r="H45" s="117"/>
      <c r="I45" s="116"/>
      <c r="J45" s="116"/>
      <c r="K45" s="204"/>
      <c r="L45" s="90"/>
      <c r="M45" s="302">
        <f>ESTIMATOR!$Y45</f>
        <v>0</v>
      </c>
      <c r="N45" s="90"/>
      <c r="O45" s="100"/>
      <c r="P45" s="92"/>
      <c r="Q45" s="93"/>
    </row>
    <row r="46" spans="1:18" x14ac:dyDescent="0.25">
      <c r="A46" s="93"/>
      <c r="B46" s="92"/>
      <c r="C46" s="97"/>
      <c r="D46" s="99"/>
      <c r="E46" s="217" t="s">
        <v>151</v>
      </c>
      <c r="F46" s="172">
        <f>SUM(F32:F45)</f>
        <v>0</v>
      </c>
      <c r="G46" s="172">
        <f>SUM(G32:G45)</f>
        <v>0</v>
      </c>
      <c r="H46" s="99"/>
      <c r="I46" s="99"/>
      <c r="J46" s="99"/>
      <c r="K46" s="99"/>
      <c r="L46" s="172">
        <f>SUM(L32:L45)</f>
        <v>0</v>
      </c>
      <c r="M46" s="172">
        <f>SUM(M32:M45)</f>
        <v>0</v>
      </c>
      <c r="N46" s="172">
        <f>SUM(N32:N45)</f>
        <v>0</v>
      </c>
      <c r="O46" s="100"/>
      <c r="P46" s="92"/>
      <c r="Q46" s="93"/>
    </row>
    <row r="47" spans="1:18" x14ac:dyDescent="0.25">
      <c r="A47" s="93"/>
      <c r="B47" s="92"/>
      <c r="C47" s="97"/>
      <c r="D47" s="99"/>
      <c r="E47" s="102"/>
      <c r="F47" s="99"/>
      <c r="G47" s="99"/>
      <c r="H47" s="99"/>
      <c r="I47" s="99"/>
      <c r="J47" s="99"/>
      <c r="K47" s="99"/>
      <c r="L47" s="169"/>
      <c r="M47" s="169"/>
      <c r="N47" s="169"/>
      <c r="O47" s="100"/>
      <c r="P47" s="92"/>
      <c r="Q47" s="93"/>
    </row>
    <row r="48" spans="1:18" x14ac:dyDescent="0.25">
      <c r="A48" s="93"/>
      <c r="B48" s="92"/>
      <c r="C48" s="97"/>
      <c r="D48" s="118" t="s">
        <v>10</v>
      </c>
      <c r="E48" s="118"/>
      <c r="F48" s="99"/>
      <c r="G48" s="116"/>
      <c r="H48" s="116"/>
      <c r="I48" s="116"/>
      <c r="J48" s="116"/>
      <c r="K48" s="204"/>
      <c r="L48" s="90"/>
      <c r="M48" s="90"/>
      <c r="N48" s="90"/>
      <c r="O48" s="100"/>
      <c r="P48" s="92"/>
      <c r="Q48" s="93"/>
    </row>
    <row r="49" spans="1:17" ht="15.75" thickBot="1" x14ac:dyDescent="0.3">
      <c r="A49" s="93"/>
      <c r="B49" s="92"/>
      <c r="C49" s="97"/>
      <c r="D49" s="99">
        <v>2</v>
      </c>
      <c r="E49" s="114" t="s">
        <v>1</v>
      </c>
      <c r="F49" s="219">
        <f>F31-F46</f>
        <v>0</v>
      </c>
      <c r="G49" s="106"/>
      <c r="H49" s="99"/>
      <c r="I49" s="99"/>
      <c r="J49" s="99"/>
      <c r="K49" s="99"/>
      <c r="L49" s="110">
        <f>ESTIMATOR!$Y49</f>
        <v>0</v>
      </c>
      <c r="M49" s="110">
        <f>ESTIMATOR!$Y49</f>
        <v>0</v>
      </c>
      <c r="N49" s="110">
        <f>ESTIMATOR!$Y49</f>
        <v>0</v>
      </c>
      <c r="O49" s="100"/>
      <c r="P49" s="92"/>
      <c r="Q49" s="93"/>
    </row>
    <row r="50" spans="1:17" ht="15.75" thickTop="1" x14ac:dyDescent="0.25">
      <c r="A50" s="93"/>
      <c r="B50" s="92"/>
      <c r="C50" s="97"/>
      <c r="D50" s="99">
        <v>3</v>
      </c>
      <c r="E50" s="114" t="s">
        <v>2</v>
      </c>
      <c r="F50" s="106" t="str">
        <f>IF(FederalTaxableWage&lt;0,"NEGATIVE FED TAXABLE","")</f>
        <v/>
      </c>
      <c r="G50" s="106"/>
      <c r="H50" s="99"/>
      <c r="I50" s="99"/>
      <c r="J50" s="99"/>
      <c r="K50" s="99"/>
      <c r="L50" s="110">
        <f>ESTIMATOR!$Y50</f>
        <v>0</v>
      </c>
      <c r="M50" s="110">
        <f>ESTIMATOR!$Y50</f>
        <v>0</v>
      </c>
      <c r="N50" s="110">
        <f>ESTIMATOR!$Y50</f>
        <v>0</v>
      </c>
      <c r="O50" s="100"/>
      <c r="P50" s="92"/>
      <c r="Q50" s="93"/>
    </row>
    <row r="51" spans="1:17" ht="15.75" thickBot="1" x14ac:dyDescent="0.3">
      <c r="A51" s="93"/>
      <c r="B51" s="92"/>
      <c r="C51" s="97"/>
      <c r="D51" s="99">
        <v>1</v>
      </c>
      <c r="E51" s="114" t="s">
        <v>3</v>
      </c>
      <c r="F51" s="106"/>
      <c r="G51" s="219">
        <f>G31-G46</f>
        <v>0</v>
      </c>
      <c r="H51" s="99"/>
      <c r="I51" s="99"/>
      <c r="J51" s="99"/>
      <c r="K51" s="99"/>
      <c r="L51" s="110">
        <f>ESTIMATOR!$Y51</f>
        <v>0</v>
      </c>
      <c r="M51" s="110">
        <f>ESTIMATOR!$Y51</f>
        <v>0</v>
      </c>
      <c r="N51" s="110">
        <f>ESTIMATOR!$Y51</f>
        <v>0</v>
      </c>
      <c r="O51" s="100"/>
      <c r="P51" s="92"/>
      <c r="Q51" s="93"/>
    </row>
    <row r="52" spans="1:17" ht="15.75" thickTop="1" x14ac:dyDescent="0.25">
      <c r="A52" s="93"/>
      <c r="B52" s="92"/>
      <c r="C52" s="97"/>
      <c r="D52" s="99">
        <v>1</v>
      </c>
      <c r="E52" s="114" t="s">
        <v>4</v>
      </c>
      <c r="F52" s="185"/>
      <c r="G52" s="99"/>
      <c r="H52" s="99"/>
      <c r="I52" s="99"/>
      <c r="J52" s="99"/>
      <c r="K52" s="99"/>
      <c r="L52" s="110">
        <f>ESTIMATOR!$Y52</f>
        <v>0</v>
      </c>
      <c r="M52" s="110">
        <f>ESTIMATOR!$Y52</f>
        <v>0</v>
      </c>
      <c r="N52" s="110">
        <f>ESTIMATOR!$Y52</f>
        <v>0</v>
      </c>
      <c r="O52" s="100"/>
      <c r="P52" s="92"/>
      <c r="Q52" s="93"/>
    </row>
    <row r="53" spans="1:17" x14ac:dyDescent="0.25">
      <c r="A53" s="93"/>
      <c r="B53" s="92"/>
      <c r="C53" s="97"/>
      <c r="D53" s="99"/>
      <c r="E53" s="114"/>
      <c r="F53" s="116"/>
      <c r="G53" s="116"/>
      <c r="H53" s="116"/>
      <c r="I53" s="116"/>
      <c r="J53" s="116"/>
      <c r="K53" s="204"/>
      <c r="L53" s="110">
        <f>ESTIMATOR!$Y53</f>
        <v>0</v>
      </c>
      <c r="M53" s="110">
        <f>ESTIMATOR!$Y53</f>
        <v>0</v>
      </c>
      <c r="N53" s="110">
        <f>ESTIMATOR!$Y53</f>
        <v>0</v>
      </c>
      <c r="O53" s="100"/>
      <c r="P53" s="92"/>
      <c r="Q53" s="93"/>
    </row>
    <row r="54" spans="1:17" x14ac:dyDescent="0.25">
      <c r="A54" s="93"/>
      <c r="B54" s="92"/>
      <c r="C54" s="97"/>
      <c r="D54" s="99"/>
      <c r="E54" s="216" t="s">
        <v>11</v>
      </c>
      <c r="F54" s="99"/>
      <c r="G54" s="99"/>
      <c r="H54" s="99"/>
      <c r="I54" s="99"/>
      <c r="J54" s="99"/>
      <c r="K54" s="99"/>
      <c r="L54" s="172">
        <f>SUM(L47:L53)</f>
        <v>0</v>
      </c>
      <c r="M54" s="172">
        <f>SUM(M47:M53)</f>
        <v>0</v>
      </c>
      <c r="N54" s="172">
        <f>SUM(N47:N53)</f>
        <v>0</v>
      </c>
      <c r="O54" s="100"/>
      <c r="P54" s="92"/>
      <c r="Q54" s="93"/>
    </row>
    <row r="55" spans="1:17" x14ac:dyDescent="0.25">
      <c r="A55" s="93"/>
      <c r="B55" s="92"/>
      <c r="C55" s="97"/>
      <c r="D55" s="99"/>
      <c r="E55" s="102"/>
      <c r="F55" s="99"/>
      <c r="G55" s="99"/>
      <c r="H55" s="99"/>
      <c r="I55" s="99"/>
      <c r="J55" s="99"/>
      <c r="K55" s="99"/>
      <c r="L55" s="90"/>
      <c r="M55" s="90"/>
      <c r="N55" s="90"/>
      <c r="O55" s="100"/>
      <c r="P55" s="92"/>
      <c r="Q55" s="93"/>
    </row>
    <row r="56" spans="1:17" x14ac:dyDescent="0.25">
      <c r="A56" s="93"/>
      <c r="B56" s="92"/>
      <c r="C56" s="97"/>
      <c r="D56" s="118" t="s">
        <v>149</v>
      </c>
      <c r="E56" s="119"/>
      <c r="F56" s="116"/>
      <c r="G56" s="116"/>
      <c r="H56" s="116"/>
      <c r="I56" s="116"/>
      <c r="J56" s="205"/>
      <c r="K56" s="227"/>
      <c r="L56" s="90"/>
      <c r="M56" s="90"/>
      <c r="N56" s="90"/>
      <c r="O56" s="100"/>
      <c r="P56" s="92"/>
      <c r="Q56" s="93"/>
    </row>
    <row r="57" spans="1:17" x14ac:dyDescent="0.25">
      <c r="A57" s="93"/>
      <c r="B57" s="92"/>
      <c r="C57" s="97"/>
      <c r="D57" s="101"/>
      <c r="E57" s="113"/>
      <c r="F57" s="99"/>
      <c r="G57" s="99"/>
      <c r="H57" s="99"/>
      <c r="I57" s="99"/>
      <c r="J57" s="106"/>
      <c r="K57" s="99"/>
      <c r="L57" s="159"/>
      <c r="M57" s="159"/>
      <c r="N57" s="86"/>
      <c r="O57" s="100"/>
      <c r="P57" s="92"/>
      <c r="Q57" s="93"/>
    </row>
    <row r="58" spans="1:17" x14ac:dyDescent="0.25">
      <c r="A58" s="93"/>
      <c r="B58" s="92"/>
      <c r="C58" s="97"/>
      <c r="D58" s="171">
        <v>5</v>
      </c>
      <c r="E58" s="113" t="s">
        <v>247</v>
      </c>
      <c r="F58" s="99"/>
      <c r="G58" s="99"/>
      <c r="H58" s="99"/>
      <c r="I58" s="99"/>
      <c r="J58" s="106"/>
      <c r="K58" s="99"/>
      <c r="L58" s="159"/>
      <c r="M58" s="159"/>
      <c r="N58" s="86"/>
      <c r="O58" s="100"/>
      <c r="P58" s="92"/>
      <c r="Q58" s="93"/>
    </row>
    <row r="59" spans="1:17" x14ac:dyDescent="0.25">
      <c r="A59" s="93"/>
      <c r="B59" s="92"/>
      <c r="C59" s="97"/>
      <c r="D59" s="171">
        <v>5</v>
      </c>
      <c r="E59" s="113" t="s">
        <v>248</v>
      </c>
      <c r="F59" s="99"/>
      <c r="G59" s="99"/>
      <c r="H59" s="99"/>
      <c r="I59" s="99"/>
      <c r="J59" s="106"/>
      <c r="K59" s="99"/>
      <c r="L59" s="159"/>
      <c r="M59" s="159"/>
      <c r="N59" s="86"/>
      <c r="O59" s="100"/>
      <c r="P59" s="92"/>
      <c r="Q59" s="93"/>
    </row>
    <row r="60" spans="1:17" x14ac:dyDescent="0.25">
      <c r="A60" s="93"/>
      <c r="B60" s="92"/>
      <c r="C60" s="97"/>
      <c r="D60" s="171">
        <v>1</v>
      </c>
      <c r="E60" s="113" t="s">
        <v>286</v>
      </c>
      <c r="F60" s="99"/>
      <c r="G60" s="99"/>
      <c r="H60" s="99"/>
      <c r="I60" s="99"/>
      <c r="J60" s="106"/>
      <c r="K60" s="99"/>
      <c r="L60" s="159"/>
      <c r="M60" s="159"/>
      <c r="N60" s="86"/>
      <c r="O60" s="100"/>
      <c r="P60" s="92"/>
      <c r="Q60" s="93"/>
    </row>
    <row r="61" spans="1:17" x14ac:dyDescent="0.25">
      <c r="A61" s="93"/>
      <c r="B61" s="92"/>
      <c r="C61" s="97"/>
      <c r="D61" s="171">
        <v>2</v>
      </c>
      <c r="E61" s="113" t="s">
        <v>194</v>
      </c>
      <c r="F61" s="99"/>
      <c r="G61" s="99"/>
      <c r="H61" s="99"/>
      <c r="I61" s="99"/>
      <c r="J61" s="106"/>
      <c r="K61" s="99"/>
      <c r="L61" s="159"/>
      <c r="M61" s="159"/>
      <c r="N61" s="86"/>
      <c r="O61" s="100"/>
      <c r="P61" s="92"/>
      <c r="Q61" s="93"/>
    </row>
    <row r="62" spans="1:17" x14ac:dyDescent="0.25">
      <c r="A62" s="93"/>
      <c r="B62" s="92"/>
      <c r="C62" s="97"/>
      <c r="D62" s="171">
        <v>3</v>
      </c>
      <c r="E62" s="113" t="s">
        <v>195</v>
      </c>
      <c r="F62" s="99"/>
      <c r="G62" s="99"/>
      <c r="H62" s="99"/>
      <c r="I62" s="99"/>
      <c r="J62" s="106"/>
      <c r="K62" s="99"/>
      <c r="L62" s="159"/>
      <c r="M62" s="159"/>
      <c r="N62" s="86"/>
      <c r="O62" s="100"/>
      <c r="P62" s="92"/>
      <c r="Q62" s="93"/>
    </row>
    <row r="63" spans="1:17" x14ac:dyDescent="0.25">
      <c r="A63" s="93"/>
      <c r="B63" s="92"/>
      <c r="C63" s="97"/>
      <c r="D63" s="171">
        <v>3</v>
      </c>
      <c r="E63" s="113" t="s">
        <v>239</v>
      </c>
      <c r="F63" s="99"/>
      <c r="G63" s="99"/>
      <c r="H63" s="99"/>
      <c r="I63" s="99"/>
      <c r="J63" s="106"/>
      <c r="K63" s="99"/>
      <c r="L63" s="159"/>
      <c r="M63" s="159"/>
      <c r="N63" s="86"/>
      <c r="O63" s="100"/>
      <c r="P63" s="92"/>
      <c r="Q63" s="93"/>
    </row>
    <row r="64" spans="1:17" x14ac:dyDescent="0.25">
      <c r="A64" s="93"/>
      <c r="B64" s="92"/>
      <c r="C64" s="97"/>
      <c r="D64" s="171">
        <v>4</v>
      </c>
      <c r="E64" s="113" t="s">
        <v>235</v>
      </c>
      <c r="F64" s="99"/>
      <c r="G64" s="99"/>
      <c r="H64" s="99"/>
      <c r="I64" s="99"/>
      <c r="J64" s="106"/>
      <c r="K64" s="99"/>
      <c r="L64" s="159"/>
      <c r="M64" s="159"/>
      <c r="N64" s="86"/>
      <c r="O64" s="100"/>
      <c r="P64" s="92"/>
      <c r="Q64" s="93"/>
    </row>
    <row r="65" spans="1:17" x14ac:dyDescent="0.25">
      <c r="A65" s="93"/>
      <c r="B65" s="92"/>
      <c r="C65" s="97"/>
      <c r="D65" s="171">
        <v>5</v>
      </c>
      <c r="E65" s="113" t="s">
        <v>236</v>
      </c>
      <c r="F65" s="99"/>
      <c r="G65" s="99"/>
      <c r="H65" s="99"/>
      <c r="I65" s="99"/>
      <c r="J65" s="106"/>
      <c r="K65" s="99"/>
      <c r="L65" s="159"/>
      <c r="M65" s="159"/>
      <c r="N65" s="86"/>
      <c r="O65" s="100"/>
      <c r="P65" s="92"/>
      <c r="Q65" s="93"/>
    </row>
    <row r="66" spans="1:17" x14ac:dyDescent="0.25">
      <c r="A66" s="93"/>
      <c r="B66" s="92"/>
      <c r="C66" s="97"/>
      <c r="D66" s="171">
        <v>5</v>
      </c>
      <c r="E66" s="113" t="s">
        <v>240</v>
      </c>
      <c r="F66" s="99"/>
      <c r="G66" s="99"/>
      <c r="H66" s="99"/>
      <c r="I66" s="99"/>
      <c r="J66" s="106"/>
      <c r="K66" s="99"/>
      <c r="L66" s="159"/>
      <c r="M66" s="159"/>
      <c r="N66" s="86"/>
      <c r="O66" s="100"/>
      <c r="P66" s="92"/>
      <c r="Q66" s="93"/>
    </row>
    <row r="67" spans="1:17" ht="34.5" customHeight="1" x14ac:dyDescent="0.25">
      <c r="A67" s="93"/>
      <c r="B67" s="92"/>
      <c r="C67" s="97"/>
      <c r="D67" s="101"/>
      <c r="E67" s="113"/>
      <c r="F67" s="99"/>
      <c r="G67" s="99"/>
      <c r="H67" s="99"/>
      <c r="I67" s="99"/>
      <c r="J67" s="106"/>
      <c r="K67" s="99"/>
      <c r="L67" s="159"/>
      <c r="M67" s="159"/>
      <c r="N67" s="86"/>
      <c r="O67" s="100"/>
      <c r="P67" s="92"/>
      <c r="Q67" s="93"/>
    </row>
    <row r="68" spans="1:17" ht="24" customHeight="1" x14ac:dyDescent="0.25">
      <c r="A68" s="93"/>
      <c r="B68" s="92"/>
      <c r="C68" s="97"/>
      <c r="D68" s="171">
        <v>6</v>
      </c>
      <c r="E68" s="113" t="s">
        <v>241</v>
      </c>
      <c r="F68" s="99"/>
      <c r="G68" s="99"/>
      <c r="H68" s="106"/>
      <c r="I68" s="99"/>
      <c r="J68" s="106"/>
      <c r="K68" s="99"/>
      <c r="L68" s="86"/>
      <c r="M68" s="90"/>
      <c r="N68" s="86"/>
      <c r="O68" s="100"/>
      <c r="P68" s="92"/>
      <c r="Q68" s="93"/>
    </row>
    <row r="69" spans="1:17" ht="24" customHeight="1" x14ac:dyDescent="0.25">
      <c r="A69" s="93"/>
      <c r="B69" s="92"/>
      <c r="C69" s="97"/>
      <c r="D69" s="171">
        <v>7</v>
      </c>
      <c r="E69" s="113" t="s">
        <v>242</v>
      </c>
      <c r="F69" s="99"/>
      <c r="G69" s="99"/>
      <c r="H69" s="106"/>
      <c r="I69" s="99"/>
      <c r="J69" s="106"/>
      <c r="K69" s="99"/>
      <c r="L69" s="86"/>
      <c r="M69" s="90"/>
      <c r="N69" s="86"/>
      <c r="O69" s="100"/>
      <c r="P69" s="92"/>
      <c r="Q69" s="93"/>
    </row>
    <row r="70" spans="1:17" ht="24" customHeight="1" x14ac:dyDescent="0.25">
      <c r="A70" s="93"/>
      <c r="B70" s="92"/>
      <c r="C70" s="97"/>
      <c r="D70" s="171">
        <v>8</v>
      </c>
      <c r="E70" s="113" t="s">
        <v>243</v>
      </c>
      <c r="F70" s="99"/>
      <c r="G70" s="99"/>
      <c r="H70" s="106"/>
      <c r="I70" s="99"/>
      <c r="J70" s="106"/>
      <c r="K70" s="99"/>
      <c r="L70" s="86"/>
      <c r="M70" s="90"/>
      <c r="N70" s="86"/>
      <c r="O70" s="100"/>
      <c r="P70" s="92"/>
      <c r="Q70" s="93"/>
    </row>
    <row r="71" spans="1:17" x14ac:dyDescent="0.25">
      <c r="A71" s="93"/>
      <c r="B71" s="92"/>
      <c r="C71" s="97"/>
      <c r="D71" s="171"/>
      <c r="E71" s="115"/>
      <c r="F71" s="116"/>
      <c r="G71" s="116"/>
      <c r="H71" s="116"/>
      <c r="I71" s="116"/>
      <c r="J71" s="116"/>
      <c r="K71" s="204"/>
      <c r="L71" s="86"/>
      <c r="M71" s="86"/>
      <c r="N71" s="86"/>
      <c r="O71" s="100"/>
      <c r="P71" s="92"/>
      <c r="Q71" s="93"/>
    </row>
    <row r="72" spans="1:17" x14ac:dyDescent="0.25">
      <c r="A72" s="93"/>
      <c r="B72" s="92"/>
      <c r="C72" s="97"/>
      <c r="D72" s="171">
        <v>9</v>
      </c>
      <c r="E72" s="113" t="s">
        <v>266</v>
      </c>
      <c r="F72" s="99"/>
      <c r="G72" s="99"/>
      <c r="H72" s="99"/>
      <c r="I72" s="99"/>
      <c r="J72" s="99"/>
      <c r="K72" s="99"/>
      <c r="L72" s="86"/>
      <c r="M72" s="86"/>
      <c r="N72" s="86"/>
      <c r="O72" s="100"/>
      <c r="P72" s="92"/>
      <c r="Q72" s="93"/>
    </row>
    <row r="73" spans="1:17" x14ac:dyDescent="0.25">
      <c r="A73" s="93"/>
      <c r="B73" s="92"/>
      <c r="C73" s="97"/>
      <c r="D73" s="171">
        <v>9</v>
      </c>
      <c r="E73" s="113" t="s">
        <v>261</v>
      </c>
      <c r="F73" s="177"/>
      <c r="G73" s="106"/>
      <c r="H73" s="99"/>
      <c r="I73" s="99"/>
      <c r="J73" s="99"/>
      <c r="K73" s="99"/>
      <c r="L73" s="86"/>
      <c r="M73" s="86"/>
      <c r="N73" s="86"/>
      <c r="O73" s="100"/>
      <c r="P73" s="92"/>
      <c r="Q73" s="93"/>
    </row>
    <row r="74" spans="1:17" x14ac:dyDescent="0.25">
      <c r="A74" s="93"/>
      <c r="B74" s="92"/>
      <c r="C74" s="97"/>
      <c r="D74" s="171">
        <v>9</v>
      </c>
      <c r="E74" s="113" t="s">
        <v>262</v>
      </c>
      <c r="F74" s="106"/>
      <c r="G74" s="99"/>
      <c r="H74" s="99"/>
      <c r="I74" s="99"/>
      <c r="J74" s="99"/>
      <c r="K74" s="99"/>
      <c r="L74" s="86"/>
      <c r="M74" s="86"/>
      <c r="N74" s="86"/>
      <c r="O74" s="100"/>
      <c r="P74" s="92"/>
      <c r="Q74" s="93"/>
    </row>
    <row r="75" spans="1:17" x14ac:dyDescent="0.25">
      <c r="A75" s="93"/>
      <c r="B75" s="92"/>
      <c r="C75" s="97"/>
      <c r="D75" s="171">
        <v>9</v>
      </c>
      <c r="E75" s="113" t="s">
        <v>263</v>
      </c>
      <c r="F75" s="106"/>
      <c r="G75" s="99"/>
      <c r="H75" s="99"/>
      <c r="I75" s="99"/>
      <c r="J75" s="99"/>
      <c r="K75" s="99"/>
      <c r="L75" s="86"/>
      <c r="M75" s="86"/>
      <c r="N75" s="86"/>
      <c r="O75" s="100"/>
      <c r="P75" s="92"/>
      <c r="Q75" s="93"/>
    </row>
    <row r="76" spans="1:17" x14ac:dyDescent="0.25">
      <c r="A76" s="93"/>
      <c r="B76" s="92"/>
      <c r="C76" s="97"/>
      <c r="D76" s="171">
        <v>9</v>
      </c>
      <c r="E76" s="113" t="s">
        <v>264</v>
      </c>
      <c r="F76" s="99"/>
      <c r="G76" s="99"/>
      <c r="H76" s="99"/>
      <c r="I76" s="99"/>
      <c r="J76" s="99"/>
      <c r="K76" s="99"/>
      <c r="L76" s="86"/>
      <c r="M76" s="86"/>
      <c r="N76" s="86"/>
      <c r="O76" s="100"/>
      <c r="P76" s="92"/>
      <c r="Q76" s="93"/>
    </row>
    <row r="77" spans="1:17" x14ac:dyDescent="0.25">
      <c r="A77" s="93"/>
      <c r="B77" s="92"/>
      <c r="C77" s="97"/>
      <c r="D77" s="171">
        <v>9</v>
      </c>
      <c r="E77" s="115" t="s">
        <v>265</v>
      </c>
      <c r="F77" s="116"/>
      <c r="G77" s="116"/>
      <c r="H77" s="116"/>
      <c r="I77" s="116"/>
      <c r="J77" s="116"/>
      <c r="K77" s="204"/>
      <c r="L77" s="86"/>
      <c r="M77" s="86"/>
      <c r="N77" s="86"/>
      <c r="O77" s="100"/>
      <c r="P77" s="92"/>
      <c r="Q77" s="93"/>
    </row>
    <row r="78" spans="1:17" x14ac:dyDescent="0.25">
      <c r="A78" s="93"/>
      <c r="B78" s="92"/>
      <c r="C78" s="97"/>
      <c r="D78" s="102">
        <v>2</v>
      </c>
      <c r="E78" s="113" t="s">
        <v>193</v>
      </c>
      <c r="F78" s="99"/>
      <c r="G78" s="99"/>
      <c r="H78" s="99"/>
      <c r="I78" s="99"/>
      <c r="J78" s="99"/>
      <c r="K78" s="99"/>
      <c r="L78" s="110">
        <f>ESTIMATOR!$Y78</f>
        <v>0</v>
      </c>
      <c r="M78" s="302">
        <f>ESTIMATOR!$Y78</f>
        <v>0</v>
      </c>
      <c r="N78" s="110">
        <f>ESTIMATOR!$Y78</f>
        <v>0</v>
      </c>
      <c r="O78" s="100"/>
      <c r="P78" s="92"/>
      <c r="Q78" s="93"/>
    </row>
    <row r="79" spans="1:17" x14ac:dyDescent="0.25">
      <c r="A79" s="93"/>
      <c r="B79" s="92"/>
      <c r="C79" s="97"/>
      <c r="D79" s="102">
        <v>2</v>
      </c>
      <c r="E79" s="113" t="s">
        <v>143</v>
      </c>
      <c r="F79" s="99"/>
      <c r="G79" s="99"/>
      <c r="H79" s="99"/>
      <c r="I79" s="99"/>
      <c r="J79" s="99"/>
      <c r="K79" s="99"/>
      <c r="L79" s="159"/>
      <c r="M79" s="302">
        <f>ESTIMATOR!$Y79</f>
        <v>0</v>
      </c>
      <c r="N79" s="86"/>
      <c r="O79" s="100"/>
      <c r="P79" s="92"/>
      <c r="Q79" s="93"/>
    </row>
    <row r="80" spans="1:17" x14ac:dyDescent="0.25">
      <c r="A80" s="93"/>
      <c r="B80" s="92"/>
      <c r="C80" s="97"/>
      <c r="D80" s="102">
        <v>2</v>
      </c>
      <c r="E80" s="113" t="s">
        <v>163</v>
      </c>
      <c r="F80" s="99"/>
      <c r="G80" s="99"/>
      <c r="H80" s="99"/>
      <c r="I80" s="99"/>
      <c r="J80" s="99"/>
      <c r="K80" s="99"/>
      <c r="L80" s="159"/>
      <c r="M80" s="302">
        <f>ESTIMATOR!$Y80</f>
        <v>0</v>
      </c>
      <c r="N80" s="86"/>
      <c r="O80" s="100"/>
      <c r="P80" s="92"/>
      <c r="Q80" s="93"/>
    </row>
    <row r="81" spans="1:17" x14ac:dyDescent="0.25">
      <c r="A81" s="93"/>
      <c r="B81" s="92"/>
      <c r="C81" s="97"/>
      <c r="D81" s="102">
        <v>2</v>
      </c>
      <c r="E81" s="113" t="s">
        <v>145</v>
      </c>
      <c r="F81" s="99"/>
      <c r="G81" s="99"/>
      <c r="H81" s="99"/>
      <c r="I81" s="99"/>
      <c r="J81" s="99"/>
      <c r="K81" s="99"/>
      <c r="L81" s="159"/>
      <c r="M81" s="302">
        <f>ESTIMATOR!$Y81</f>
        <v>0</v>
      </c>
      <c r="N81" s="86"/>
      <c r="O81" s="100"/>
      <c r="P81" s="92"/>
      <c r="Q81" s="93"/>
    </row>
    <row r="82" spans="1:17" x14ac:dyDescent="0.25">
      <c r="A82" s="93"/>
      <c r="B82" s="92"/>
      <c r="C82" s="97"/>
      <c r="D82" s="102">
        <v>8</v>
      </c>
      <c r="E82" s="113" t="s">
        <v>297</v>
      </c>
      <c r="F82" s="99"/>
      <c r="G82" s="99"/>
      <c r="H82" s="99"/>
      <c r="I82" s="99"/>
      <c r="J82" s="99"/>
      <c r="K82" s="99"/>
      <c r="L82" s="159"/>
      <c r="M82" s="302"/>
      <c r="N82" s="86"/>
      <c r="O82" s="100"/>
      <c r="P82" s="92"/>
      <c r="Q82" s="93"/>
    </row>
    <row r="83" spans="1:17" x14ac:dyDescent="0.25">
      <c r="A83" s="93"/>
      <c r="B83" s="92"/>
      <c r="C83" s="97"/>
      <c r="D83" s="99">
        <v>9</v>
      </c>
      <c r="E83" s="113" t="s">
        <v>146</v>
      </c>
      <c r="F83" s="106"/>
      <c r="G83" s="99"/>
      <c r="H83" s="99"/>
      <c r="I83" s="99"/>
      <c r="J83" s="99"/>
      <c r="K83" s="99"/>
      <c r="L83" s="86"/>
      <c r="M83" s="302">
        <f>ESTIMATOR!$Y83</f>
        <v>0</v>
      </c>
      <c r="N83" s="86"/>
      <c r="O83" s="100"/>
      <c r="P83" s="92"/>
      <c r="Q83" s="93"/>
    </row>
    <row r="84" spans="1:17" x14ac:dyDescent="0.25">
      <c r="A84" s="93"/>
      <c r="B84" s="92"/>
      <c r="C84" s="97"/>
      <c r="D84" s="102">
        <v>9</v>
      </c>
      <c r="E84" s="113" t="s">
        <v>147</v>
      </c>
      <c r="F84" s="106"/>
      <c r="G84" s="99"/>
      <c r="H84" s="99"/>
      <c r="I84" s="99"/>
      <c r="J84" s="99"/>
      <c r="K84" s="99"/>
      <c r="L84" s="86"/>
      <c r="M84" s="302">
        <f>ESTIMATOR!$Y84</f>
        <v>0</v>
      </c>
      <c r="N84" s="86"/>
      <c r="O84" s="100"/>
      <c r="P84" s="92"/>
      <c r="Q84" s="93"/>
    </row>
    <row r="85" spans="1:17" x14ac:dyDescent="0.25">
      <c r="A85" s="93"/>
      <c r="B85" s="92"/>
      <c r="C85" s="97"/>
      <c r="D85" s="102">
        <v>9</v>
      </c>
      <c r="E85" s="247" t="s">
        <v>307</v>
      </c>
      <c r="F85" s="205"/>
      <c r="G85" s="116"/>
      <c r="H85" s="116"/>
      <c r="I85" s="116"/>
      <c r="J85" s="116"/>
      <c r="K85" s="204"/>
      <c r="L85" s="162"/>
      <c r="M85" s="302">
        <f>ESTIMATOR!$Y85</f>
        <v>0</v>
      </c>
      <c r="N85" s="86"/>
      <c r="O85" s="100"/>
      <c r="P85" s="92"/>
      <c r="Q85" s="93"/>
    </row>
    <row r="86" spans="1:17" x14ac:dyDescent="0.25">
      <c r="A86" s="93"/>
      <c r="B86" s="92"/>
      <c r="C86" s="97"/>
      <c r="D86" s="99"/>
      <c r="E86" s="218" t="s">
        <v>150</v>
      </c>
      <c r="F86" s="99"/>
      <c r="G86" s="99"/>
      <c r="H86" s="99"/>
      <c r="I86" s="99"/>
      <c r="J86" s="99"/>
      <c r="K86" s="99"/>
      <c r="L86" s="172">
        <f>SUM(L55:L85)</f>
        <v>0</v>
      </c>
      <c r="M86" s="172">
        <f>SUM(M55:M85)</f>
        <v>0</v>
      </c>
      <c r="N86" s="172">
        <f>SUM(N55:N85)</f>
        <v>0</v>
      </c>
      <c r="O86" s="100"/>
      <c r="P86" s="92"/>
      <c r="Q86" s="93"/>
    </row>
    <row r="87" spans="1:17" x14ac:dyDescent="0.25">
      <c r="A87" s="93"/>
      <c r="B87" s="92"/>
      <c r="C87" s="97"/>
      <c r="D87" s="99"/>
      <c r="E87" s="99"/>
      <c r="F87" s="99"/>
      <c r="G87" s="99"/>
      <c r="H87" s="99"/>
      <c r="I87" s="99"/>
      <c r="J87" s="99"/>
      <c r="K87" s="135"/>
      <c r="L87" s="135"/>
      <c r="M87" s="135"/>
      <c r="N87" s="135"/>
      <c r="O87" s="100"/>
      <c r="P87" s="92"/>
      <c r="Q87" s="93"/>
    </row>
    <row r="88" spans="1:17" ht="15.75" thickBot="1" x14ac:dyDescent="0.3">
      <c r="A88" s="93"/>
      <c r="B88" s="92"/>
      <c r="C88" s="97"/>
      <c r="D88" s="101"/>
      <c r="E88" s="99"/>
      <c r="F88" s="99"/>
      <c r="G88" s="99"/>
      <c r="H88" s="99"/>
      <c r="I88" s="99"/>
      <c r="J88" s="99"/>
      <c r="K88" s="121" t="s">
        <v>202</v>
      </c>
      <c r="L88" s="219">
        <f>L31-L46-L54-L86</f>
        <v>0</v>
      </c>
      <c r="M88" s="219">
        <f>M31-M46-M54-M86</f>
        <v>0</v>
      </c>
      <c r="N88" s="219">
        <f>N31-N46-N54-N86</f>
        <v>0</v>
      </c>
      <c r="O88" s="100"/>
      <c r="P88" s="92"/>
      <c r="Q88" s="93"/>
    </row>
    <row r="89" spans="1:17" ht="16.5" thickTop="1" thickBot="1" x14ac:dyDescent="0.3">
      <c r="A89" s="93"/>
      <c r="B89" s="92"/>
      <c r="C89" s="103"/>
      <c r="D89" s="104"/>
      <c r="E89" s="104"/>
      <c r="F89" s="104"/>
      <c r="G89" s="104"/>
      <c r="H89" s="104"/>
      <c r="I89" s="104"/>
      <c r="J89" s="104"/>
      <c r="K89" s="104"/>
      <c r="L89" s="104"/>
      <c r="M89" s="104"/>
      <c r="N89" s="104"/>
      <c r="O89" s="105"/>
      <c r="P89" s="92"/>
      <c r="Q89" s="93"/>
    </row>
    <row r="90" spans="1:17" ht="5.0999999999999996" customHeight="1" x14ac:dyDescent="0.25">
      <c r="A90" s="93"/>
      <c r="B90" s="92"/>
      <c r="C90" s="92"/>
      <c r="D90" s="92"/>
      <c r="E90" s="92"/>
      <c r="F90" s="92"/>
      <c r="G90" s="92"/>
      <c r="H90" s="92"/>
      <c r="I90" s="92"/>
      <c r="J90" s="92"/>
      <c r="K90" s="92"/>
      <c r="L90" s="92"/>
      <c r="M90" s="92"/>
      <c r="N90" s="92"/>
      <c r="O90" s="92"/>
      <c r="P90" s="92"/>
      <c r="Q90" s="93"/>
    </row>
    <row r="91" spans="1:17" x14ac:dyDescent="0.25">
      <c r="A91" s="93"/>
      <c r="B91" s="93"/>
      <c r="C91" s="93"/>
      <c r="D91" s="93"/>
      <c r="E91" s="93"/>
      <c r="F91" s="93"/>
      <c r="G91" s="93"/>
      <c r="H91" s="93"/>
      <c r="I91" s="93"/>
      <c r="J91" s="93"/>
      <c r="K91" s="93"/>
      <c r="L91" s="93"/>
      <c r="M91" s="93"/>
      <c r="N91" s="93"/>
      <c r="O91" s="93"/>
      <c r="P91" s="93"/>
      <c r="Q91" s="93"/>
    </row>
  </sheetData>
  <sheetProtection password="8E71" sheet="1" objects="1" scenarios="1"/>
  <mergeCells count="10">
    <mergeCell ref="D5:E6"/>
    <mergeCell ref="L5:L7"/>
    <mergeCell ref="M5:M7"/>
    <mergeCell ref="N5:N7"/>
    <mergeCell ref="F5:F7"/>
    <mergeCell ref="G5:G7"/>
    <mergeCell ref="H5:H7"/>
    <mergeCell ref="I5:I7"/>
    <mergeCell ref="J5:J7"/>
    <mergeCell ref="K5:K7"/>
  </mergeCells>
  <conditionalFormatting sqref="F50">
    <cfRule type="expression" dxfId="1" priority="2">
      <formula>$F$49&lt;0</formula>
    </cfRule>
  </conditionalFormatting>
  <conditionalFormatting sqref="G50">
    <cfRule type="expression" dxfId="0" priority="1">
      <formula>$F$49&lt;0</formula>
    </cfRule>
  </conditionalFormatting>
  <pageMargins left="0.25" right="0.25" top="0.3" bottom="0.3" header="0.3" footer="0.25"/>
  <pageSetup scale="53" orientation="portrait" r:id="rId1"/>
  <headerFooter>
    <oddFooter>&amp;L&amp;10&amp;Z&amp;F&amp;R&amp;10Prepared &amp;D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outlinePr summaryBelow="0"/>
    <pageSetUpPr fitToPage="1"/>
  </sheetPr>
  <dimension ref="A1:AA72"/>
  <sheetViews>
    <sheetView topLeftCell="A19" workbookViewId="0">
      <selection activeCell="G21" sqref="G21"/>
    </sheetView>
  </sheetViews>
  <sheetFormatPr defaultRowHeight="15" outlineLevelCol="1" x14ac:dyDescent="0.25"/>
  <cols>
    <col min="1" max="1" width="1.7109375" customWidth="1"/>
    <col min="2" max="2" width="0.85546875" customWidth="1"/>
    <col min="3" max="3" width="4.28515625" customWidth="1"/>
    <col min="4" max="4" width="4.7109375" customWidth="1"/>
    <col min="5" max="5" width="39.5703125" customWidth="1"/>
    <col min="6" max="14" width="8.7109375" style="257" customWidth="1" outlineLevel="1"/>
    <col min="15" max="15" width="4.28515625" customWidth="1"/>
    <col min="16" max="16" width="0.85546875" customWidth="1"/>
    <col min="17" max="17" width="1.7109375" customWidth="1"/>
  </cols>
  <sheetData>
    <row r="1" spans="1:27" x14ac:dyDescent="0.25">
      <c r="A1" s="93"/>
      <c r="B1" s="93"/>
      <c r="C1" s="93"/>
      <c r="D1" s="93"/>
      <c r="E1" s="93"/>
      <c r="F1" s="253"/>
      <c r="G1" s="253"/>
      <c r="H1" s="253"/>
      <c r="I1" s="253"/>
      <c r="J1" s="253"/>
      <c r="K1" s="253"/>
      <c r="L1" s="253"/>
      <c r="M1" s="253"/>
      <c r="N1" s="253"/>
      <c r="O1" s="93"/>
      <c r="P1" s="93"/>
      <c r="Q1" s="93"/>
      <c r="R1" s="93"/>
      <c r="S1" s="93"/>
      <c r="T1" s="93"/>
      <c r="U1" s="93"/>
      <c r="V1" s="93"/>
      <c r="W1" s="93"/>
      <c r="X1" s="93"/>
      <c r="Y1" s="93"/>
      <c r="Z1" s="93"/>
      <c r="AA1" s="93"/>
    </row>
    <row r="2" spans="1:27" ht="5.0999999999999996" customHeight="1" x14ac:dyDescent="0.25">
      <c r="A2" s="93"/>
      <c r="B2" s="92"/>
      <c r="C2" s="92"/>
      <c r="D2" s="92"/>
      <c r="E2" s="92"/>
      <c r="F2" s="254"/>
      <c r="G2" s="254"/>
      <c r="H2" s="254"/>
      <c r="I2" s="254"/>
      <c r="J2" s="254"/>
      <c r="K2" s="254"/>
      <c r="L2" s="254"/>
      <c r="M2" s="254"/>
      <c r="N2" s="254"/>
      <c r="O2" s="92"/>
      <c r="P2" s="92"/>
      <c r="Q2" s="93"/>
      <c r="R2" s="93"/>
      <c r="S2" s="93"/>
      <c r="T2" s="93"/>
      <c r="U2" s="93"/>
      <c r="V2" s="93"/>
      <c r="W2" s="93"/>
      <c r="X2" s="93"/>
      <c r="Y2" s="93"/>
      <c r="Z2" s="93"/>
      <c r="AA2" s="93"/>
    </row>
    <row r="3" spans="1:27" ht="36.75" customHeight="1" x14ac:dyDescent="0.25">
      <c r="A3" s="93"/>
      <c r="B3" s="92"/>
      <c r="C3" s="97"/>
      <c r="D3" s="116" t="s">
        <v>311</v>
      </c>
      <c r="E3" s="116"/>
      <c r="F3" s="255">
        <v>1</v>
      </c>
      <c r="G3" s="255">
        <v>2</v>
      </c>
      <c r="H3" s="255">
        <v>3</v>
      </c>
      <c r="I3" s="255">
        <v>4</v>
      </c>
      <c r="J3" s="255">
        <v>5</v>
      </c>
      <c r="K3" s="255">
        <v>6</v>
      </c>
      <c r="L3" s="255">
        <v>7</v>
      </c>
      <c r="M3" s="255">
        <v>8</v>
      </c>
      <c r="N3" s="255">
        <v>9</v>
      </c>
      <c r="O3" s="100"/>
      <c r="P3" s="92"/>
      <c r="Q3" s="93"/>
      <c r="R3" s="93"/>
      <c r="S3" s="93"/>
      <c r="T3" s="93"/>
      <c r="U3" s="93"/>
      <c r="V3" s="93"/>
      <c r="W3" s="93"/>
      <c r="X3" s="93"/>
      <c r="Y3" s="93"/>
      <c r="Z3" s="93"/>
      <c r="AA3" s="93"/>
    </row>
    <row r="4" spans="1:27" ht="20.100000000000001" customHeight="1" x14ac:dyDescent="0.25">
      <c r="A4" s="93"/>
      <c r="B4" s="92"/>
      <c r="C4" s="97"/>
      <c r="D4" s="99"/>
      <c r="E4" s="114" t="s">
        <v>3</v>
      </c>
      <c r="F4" s="266" t="s">
        <v>312</v>
      </c>
      <c r="G4" s="266" t="s">
        <v>312</v>
      </c>
      <c r="H4" s="266" t="s">
        <v>312</v>
      </c>
      <c r="I4" s="267" t="s">
        <v>313</v>
      </c>
      <c r="J4" s="266" t="s">
        <v>312</v>
      </c>
      <c r="K4" s="267" t="s">
        <v>313</v>
      </c>
      <c r="L4" s="267" t="s">
        <v>313</v>
      </c>
      <c r="M4" s="266" t="s">
        <v>312</v>
      </c>
      <c r="N4" s="266" t="s">
        <v>314</v>
      </c>
      <c r="O4" s="100"/>
      <c r="P4" s="92"/>
      <c r="Q4" s="93"/>
      <c r="R4" s="93"/>
      <c r="S4" s="93"/>
      <c r="T4" s="93"/>
      <c r="U4" s="93"/>
      <c r="V4" s="93"/>
      <c r="W4" s="93"/>
      <c r="X4" s="93"/>
      <c r="Y4" s="93"/>
      <c r="Z4" s="93"/>
      <c r="AA4" s="93"/>
    </row>
    <row r="5" spans="1:27" ht="20.100000000000001" customHeight="1" x14ac:dyDescent="0.25">
      <c r="A5" s="93"/>
      <c r="B5" s="92"/>
      <c r="C5" s="97"/>
      <c r="D5" s="99"/>
      <c r="E5" s="114" t="s">
        <v>4</v>
      </c>
      <c r="F5" s="266" t="s">
        <v>312</v>
      </c>
      <c r="G5" s="266" t="s">
        <v>312</v>
      </c>
      <c r="H5" s="266" t="s">
        <v>312</v>
      </c>
      <c r="I5" s="267" t="s">
        <v>313</v>
      </c>
      <c r="J5" s="266" t="s">
        <v>312</v>
      </c>
      <c r="K5" s="267" t="s">
        <v>313</v>
      </c>
      <c r="L5" s="267" t="s">
        <v>313</v>
      </c>
      <c r="M5" s="266" t="s">
        <v>312</v>
      </c>
      <c r="N5" s="266" t="s">
        <v>314</v>
      </c>
      <c r="O5" s="100"/>
      <c r="P5" s="92"/>
      <c r="Q5" s="93"/>
      <c r="R5" s="93"/>
      <c r="S5" s="93"/>
      <c r="T5" s="93"/>
      <c r="U5" s="93"/>
      <c r="V5" s="93"/>
      <c r="W5" s="93"/>
      <c r="X5" s="93"/>
      <c r="Y5" s="93"/>
      <c r="Z5" s="93"/>
      <c r="AA5" s="93"/>
    </row>
    <row r="6" spans="1:27" ht="20.100000000000001" customHeight="1" x14ac:dyDescent="0.25">
      <c r="A6" s="93"/>
      <c r="B6" s="92"/>
      <c r="C6" s="97"/>
      <c r="D6" s="99"/>
      <c r="E6" s="114" t="s">
        <v>1</v>
      </c>
      <c r="F6" s="266" t="s">
        <v>312</v>
      </c>
      <c r="G6" s="266" t="s">
        <v>312</v>
      </c>
      <c r="H6" s="266" t="s">
        <v>312</v>
      </c>
      <c r="I6" s="267" t="s">
        <v>313</v>
      </c>
      <c r="J6" s="266" t="s">
        <v>312</v>
      </c>
      <c r="K6" s="267" t="s">
        <v>313</v>
      </c>
      <c r="L6" s="267" t="s">
        <v>313</v>
      </c>
      <c r="M6" s="266" t="s">
        <v>312</v>
      </c>
      <c r="N6" s="266" t="s">
        <v>314</v>
      </c>
      <c r="O6" s="100"/>
      <c r="P6" s="92"/>
      <c r="Q6" s="93"/>
      <c r="R6" s="93"/>
      <c r="S6" s="93"/>
      <c r="T6" s="93"/>
      <c r="U6" s="93"/>
      <c r="V6" s="93"/>
      <c r="W6" s="93"/>
      <c r="X6" s="93"/>
      <c r="Y6" s="93"/>
      <c r="Z6" s="93"/>
      <c r="AA6" s="93"/>
    </row>
    <row r="7" spans="1:27" ht="20.100000000000001" customHeight="1" x14ac:dyDescent="0.25">
      <c r="A7" s="93"/>
      <c r="B7" s="92"/>
      <c r="C7" s="97"/>
      <c r="D7" s="99"/>
      <c r="E7" s="114" t="s">
        <v>2</v>
      </c>
      <c r="F7" s="266" t="s">
        <v>312</v>
      </c>
      <c r="G7" s="266" t="s">
        <v>312</v>
      </c>
      <c r="H7" s="266" t="s">
        <v>312</v>
      </c>
      <c r="I7" s="267" t="s">
        <v>313</v>
      </c>
      <c r="J7" s="266" t="s">
        <v>312</v>
      </c>
      <c r="K7" s="267" t="s">
        <v>313</v>
      </c>
      <c r="L7" s="267" t="s">
        <v>313</v>
      </c>
      <c r="M7" s="266" t="s">
        <v>312</v>
      </c>
      <c r="N7" s="266" t="s">
        <v>314</v>
      </c>
      <c r="O7" s="100"/>
      <c r="P7" s="92"/>
      <c r="Q7" s="93"/>
      <c r="R7" s="93"/>
      <c r="S7" s="93"/>
      <c r="T7" s="93"/>
      <c r="U7" s="93"/>
      <c r="V7" s="93"/>
      <c r="W7" s="93"/>
      <c r="X7" s="93"/>
      <c r="Y7" s="93"/>
      <c r="Z7" s="93"/>
      <c r="AA7" s="93"/>
    </row>
    <row r="8" spans="1:27" ht="20.100000000000001" customHeight="1" x14ac:dyDescent="0.25">
      <c r="A8" s="93"/>
      <c r="B8" s="92"/>
      <c r="C8" s="97"/>
      <c r="D8" s="99"/>
      <c r="E8" s="114" t="s">
        <v>286</v>
      </c>
      <c r="F8" s="266" t="s">
        <v>312</v>
      </c>
      <c r="G8" s="266" t="s">
        <v>312</v>
      </c>
      <c r="H8" s="266" t="s">
        <v>312</v>
      </c>
      <c r="I8" s="267" t="s">
        <v>313</v>
      </c>
      <c r="J8" s="357"/>
      <c r="K8" s="267" t="s">
        <v>313</v>
      </c>
      <c r="L8" s="267" t="s">
        <v>313</v>
      </c>
      <c r="M8" s="266" t="s">
        <v>313</v>
      </c>
      <c r="N8" s="266" t="s">
        <v>313</v>
      </c>
      <c r="O8" s="100"/>
      <c r="P8" s="92"/>
      <c r="Q8" s="93"/>
      <c r="R8" s="93"/>
      <c r="S8" s="93"/>
      <c r="T8" s="93"/>
      <c r="U8" s="93"/>
      <c r="V8" s="93"/>
      <c r="W8" s="93"/>
      <c r="X8" s="93"/>
      <c r="Y8" s="93"/>
      <c r="Z8" s="93"/>
      <c r="AA8" s="93"/>
    </row>
    <row r="9" spans="1:27" ht="20.100000000000001" customHeight="1" x14ac:dyDescent="0.25">
      <c r="A9" s="93"/>
      <c r="B9" s="92"/>
      <c r="C9" s="97"/>
      <c r="D9" s="99"/>
      <c r="E9" s="114" t="s">
        <v>194</v>
      </c>
      <c r="F9" s="266" t="s">
        <v>312</v>
      </c>
      <c r="G9" s="266" t="s">
        <v>312</v>
      </c>
      <c r="H9" s="266" t="s">
        <v>313</v>
      </c>
      <c r="I9" s="267" t="s">
        <v>313</v>
      </c>
      <c r="J9" s="266" t="s">
        <v>313</v>
      </c>
      <c r="K9" s="267" t="s">
        <v>313</v>
      </c>
      <c r="L9" s="267" t="s">
        <v>313</v>
      </c>
      <c r="M9" s="266" t="s">
        <v>313</v>
      </c>
      <c r="N9" s="266" t="s">
        <v>313</v>
      </c>
      <c r="O9" s="100"/>
      <c r="P9" s="92"/>
      <c r="Q9" s="93"/>
      <c r="R9" s="93"/>
      <c r="S9" s="93"/>
      <c r="T9" s="93"/>
      <c r="U9" s="93"/>
      <c r="V9" s="93"/>
      <c r="W9" s="93"/>
      <c r="X9" s="93"/>
      <c r="Y9" s="93"/>
      <c r="Z9" s="93"/>
      <c r="AA9" s="93"/>
    </row>
    <row r="10" spans="1:27" ht="20.100000000000001" customHeight="1" x14ac:dyDescent="0.25">
      <c r="A10" s="93"/>
      <c r="B10" s="92"/>
      <c r="C10" s="97"/>
      <c r="D10" s="99"/>
      <c r="E10" s="114" t="s">
        <v>248</v>
      </c>
      <c r="F10" s="266" t="s">
        <v>312</v>
      </c>
      <c r="G10" s="266" t="s">
        <v>312</v>
      </c>
      <c r="H10" s="266" t="s">
        <v>313</v>
      </c>
      <c r="I10" s="267" t="s">
        <v>313</v>
      </c>
      <c r="J10" s="266" t="s">
        <v>313</v>
      </c>
      <c r="K10" s="267" t="s">
        <v>313</v>
      </c>
      <c r="L10" s="267" t="s">
        <v>313</v>
      </c>
      <c r="M10" s="266" t="s">
        <v>313</v>
      </c>
      <c r="N10" s="266" t="s">
        <v>313</v>
      </c>
      <c r="O10" s="100"/>
      <c r="P10" s="92"/>
      <c r="Q10" s="93"/>
      <c r="R10" s="93"/>
      <c r="S10" s="93"/>
      <c r="T10" s="93"/>
      <c r="U10" s="93"/>
      <c r="V10" s="93"/>
      <c r="W10" s="93"/>
      <c r="X10" s="93"/>
      <c r="Y10" s="93"/>
      <c r="Z10" s="93"/>
      <c r="AA10" s="93"/>
    </row>
    <row r="11" spans="1:27" ht="20.100000000000001" customHeight="1" x14ac:dyDescent="0.25">
      <c r="A11" s="93"/>
      <c r="B11" s="92"/>
      <c r="C11" s="97"/>
      <c r="D11" s="99"/>
      <c r="E11" s="114" t="s">
        <v>247</v>
      </c>
      <c r="F11" s="266" t="s">
        <v>312</v>
      </c>
      <c r="G11" s="266" t="s">
        <v>312</v>
      </c>
      <c r="H11" s="266" t="s">
        <v>313</v>
      </c>
      <c r="I11" s="267" t="s">
        <v>313</v>
      </c>
      <c r="J11" s="266" t="s">
        <v>313</v>
      </c>
      <c r="K11" s="267" t="s">
        <v>313</v>
      </c>
      <c r="L11" s="267" t="s">
        <v>313</v>
      </c>
      <c r="M11" s="266" t="s">
        <v>313</v>
      </c>
      <c r="N11" s="266" t="s">
        <v>313</v>
      </c>
      <c r="O11" s="100"/>
      <c r="P11" s="92"/>
      <c r="Q11" s="93"/>
      <c r="R11" s="93"/>
      <c r="S11" s="93"/>
      <c r="T11" s="93"/>
      <c r="U11" s="93"/>
      <c r="V11" s="93"/>
      <c r="W11" s="93"/>
      <c r="X11" s="93"/>
      <c r="Y11" s="93"/>
      <c r="Z11" s="93"/>
      <c r="AA11" s="93"/>
    </row>
    <row r="12" spans="1:27" ht="20.100000000000001" customHeight="1" x14ac:dyDescent="0.25">
      <c r="A12" s="93"/>
      <c r="B12" s="92"/>
      <c r="C12" s="97"/>
      <c r="D12" s="99"/>
      <c r="E12" s="114" t="s">
        <v>239</v>
      </c>
      <c r="F12" s="266" t="s">
        <v>312</v>
      </c>
      <c r="G12" s="266" t="s">
        <v>312</v>
      </c>
      <c r="H12" s="266" t="s">
        <v>313</v>
      </c>
      <c r="I12" s="267" t="s">
        <v>313</v>
      </c>
      <c r="J12" s="266" t="s">
        <v>313</v>
      </c>
      <c r="K12" s="267" t="s">
        <v>313</v>
      </c>
      <c r="L12" s="267" t="s">
        <v>313</v>
      </c>
      <c r="M12" s="266" t="s">
        <v>313</v>
      </c>
      <c r="N12" s="266" t="s">
        <v>313</v>
      </c>
      <c r="O12" s="100"/>
      <c r="P12" s="92"/>
      <c r="Q12" s="93"/>
      <c r="R12" s="93"/>
      <c r="S12" s="93"/>
      <c r="T12" s="93"/>
      <c r="U12" s="93"/>
      <c r="V12" s="93"/>
      <c r="W12" s="93"/>
      <c r="X12" s="93"/>
      <c r="Y12" s="93"/>
      <c r="Z12" s="93"/>
      <c r="AA12" s="93"/>
    </row>
    <row r="13" spans="1:27" ht="20.100000000000001" customHeight="1" x14ac:dyDescent="0.25">
      <c r="A13" s="93"/>
      <c r="B13" s="92"/>
      <c r="C13" s="97"/>
      <c r="D13" s="99"/>
      <c r="E13" s="114" t="s">
        <v>195</v>
      </c>
      <c r="F13" s="266" t="s">
        <v>312</v>
      </c>
      <c r="G13" s="266" t="s">
        <v>312</v>
      </c>
      <c r="H13" s="266" t="s">
        <v>313</v>
      </c>
      <c r="I13" s="267" t="s">
        <v>313</v>
      </c>
      <c r="J13" s="266" t="s">
        <v>313</v>
      </c>
      <c r="K13" s="267" t="s">
        <v>313</v>
      </c>
      <c r="L13" s="267" t="s">
        <v>313</v>
      </c>
      <c r="M13" s="266" t="s">
        <v>313</v>
      </c>
      <c r="N13" s="266" t="s">
        <v>313</v>
      </c>
      <c r="O13" s="100"/>
      <c r="P13" s="92"/>
      <c r="Q13" s="93"/>
      <c r="R13" s="93"/>
      <c r="S13" s="93"/>
      <c r="T13" s="93"/>
      <c r="U13" s="93"/>
      <c r="V13" s="93"/>
      <c r="W13" s="93"/>
      <c r="X13" s="93"/>
      <c r="Y13" s="93"/>
      <c r="Z13" s="93"/>
      <c r="AA13" s="93"/>
    </row>
    <row r="14" spans="1:27" ht="20.100000000000001" customHeight="1" x14ac:dyDescent="0.25">
      <c r="A14" s="93"/>
      <c r="B14" s="92"/>
      <c r="C14" s="97"/>
      <c r="D14" s="99"/>
      <c r="E14" s="114" t="s">
        <v>235</v>
      </c>
      <c r="F14" s="266" t="s">
        <v>312</v>
      </c>
      <c r="G14" s="266" t="s">
        <v>312</v>
      </c>
      <c r="H14" s="266" t="s">
        <v>313</v>
      </c>
      <c r="I14" s="267" t="s">
        <v>313</v>
      </c>
      <c r="J14" s="266" t="s">
        <v>313</v>
      </c>
      <c r="K14" s="267" t="s">
        <v>313</v>
      </c>
      <c r="L14" s="267" t="s">
        <v>313</v>
      </c>
      <c r="M14" s="266" t="s">
        <v>313</v>
      </c>
      <c r="N14" s="266" t="s">
        <v>313</v>
      </c>
      <c r="O14" s="100"/>
      <c r="P14" s="92"/>
      <c r="Q14" s="93"/>
      <c r="R14" s="93"/>
      <c r="S14" s="93"/>
      <c r="T14" s="93"/>
      <c r="U14" s="93"/>
      <c r="V14" s="93"/>
      <c r="W14" s="93"/>
      <c r="X14" s="93"/>
      <c r="Y14" s="93"/>
      <c r="Z14" s="93"/>
      <c r="AA14" s="93"/>
    </row>
    <row r="15" spans="1:27" ht="20.100000000000001" customHeight="1" x14ac:dyDescent="0.25">
      <c r="A15" s="93"/>
      <c r="B15" s="92"/>
      <c r="C15" s="97"/>
      <c r="D15" s="99"/>
      <c r="E15" s="114" t="s">
        <v>240</v>
      </c>
      <c r="F15" s="266" t="s">
        <v>312</v>
      </c>
      <c r="G15" s="266" t="s">
        <v>312</v>
      </c>
      <c r="H15" s="266" t="s">
        <v>313</v>
      </c>
      <c r="I15" s="267" t="s">
        <v>313</v>
      </c>
      <c r="J15" s="266" t="s">
        <v>313</v>
      </c>
      <c r="K15" s="267" t="s">
        <v>313</v>
      </c>
      <c r="L15" s="267" t="s">
        <v>313</v>
      </c>
      <c r="M15" s="266" t="s">
        <v>313</v>
      </c>
      <c r="N15" s="266" t="s">
        <v>313</v>
      </c>
      <c r="O15" s="100"/>
      <c r="P15" s="92"/>
      <c r="Q15" s="93"/>
      <c r="R15" s="93"/>
      <c r="S15" s="93"/>
      <c r="T15" s="93"/>
      <c r="U15" s="93"/>
      <c r="V15" s="93"/>
      <c r="W15" s="93"/>
      <c r="X15" s="93"/>
      <c r="Y15" s="93"/>
      <c r="Z15" s="93"/>
      <c r="AA15" s="93"/>
    </row>
    <row r="16" spans="1:27" ht="20.100000000000001" customHeight="1" x14ac:dyDescent="0.25">
      <c r="A16" s="93"/>
      <c r="B16" s="92"/>
      <c r="C16" s="97"/>
      <c r="D16" s="99"/>
      <c r="E16" s="114" t="s">
        <v>236</v>
      </c>
      <c r="F16" s="266" t="s">
        <v>312</v>
      </c>
      <c r="G16" s="266" t="s">
        <v>312</v>
      </c>
      <c r="H16" s="266" t="s">
        <v>313</v>
      </c>
      <c r="I16" s="267" t="s">
        <v>313</v>
      </c>
      <c r="J16" s="266" t="s">
        <v>313</v>
      </c>
      <c r="K16" s="267" t="s">
        <v>313</v>
      </c>
      <c r="L16" s="267" t="s">
        <v>313</v>
      </c>
      <c r="M16" s="266" t="s">
        <v>313</v>
      </c>
      <c r="N16" s="266" t="s">
        <v>313</v>
      </c>
      <c r="O16" s="100"/>
      <c r="P16" s="92"/>
      <c r="Q16" s="93"/>
      <c r="R16" s="93"/>
      <c r="S16" s="93"/>
      <c r="T16" s="93"/>
      <c r="U16" s="93"/>
      <c r="V16" s="93"/>
      <c r="W16" s="93"/>
      <c r="X16" s="93"/>
      <c r="Y16" s="93"/>
      <c r="Z16" s="93"/>
      <c r="AA16" s="93"/>
    </row>
    <row r="17" spans="1:27" ht="20.100000000000001" customHeight="1" x14ac:dyDescent="0.25">
      <c r="A17" s="93"/>
      <c r="B17" s="92"/>
      <c r="C17" s="97"/>
      <c r="D17" s="99"/>
      <c r="E17" s="114" t="s">
        <v>241</v>
      </c>
      <c r="F17" s="266" t="s">
        <v>312</v>
      </c>
      <c r="G17" s="266" t="s">
        <v>312</v>
      </c>
      <c r="H17" s="266" t="s">
        <v>312</v>
      </c>
      <c r="I17" s="267" t="s">
        <v>313</v>
      </c>
      <c r="J17" s="357" t="s">
        <v>312</v>
      </c>
      <c r="K17" s="267" t="s">
        <v>313</v>
      </c>
      <c r="L17" s="267" t="s">
        <v>313</v>
      </c>
      <c r="M17" s="266" t="s">
        <v>313</v>
      </c>
      <c r="N17" s="266" t="s">
        <v>313</v>
      </c>
      <c r="O17" s="100"/>
      <c r="P17" s="92"/>
      <c r="Q17" s="93"/>
      <c r="R17" s="93"/>
      <c r="S17" s="93"/>
      <c r="T17" s="93"/>
      <c r="U17" s="93"/>
      <c r="V17" s="93"/>
      <c r="W17" s="93"/>
      <c r="X17" s="93"/>
      <c r="Y17" s="93"/>
      <c r="Z17" s="93"/>
      <c r="AA17" s="93"/>
    </row>
    <row r="18" spans="1:27" ht="20.100000000000001" customHeight="1" x14ac:dyDescent="0.25">
      <c r="A18" s="93"/>
      <c r="B18" s="92"/>
      <c r="C18" s="97"/>
      <c r="D18" s="99"/>
      <c r="E18" s="114" t="s">
        <v>242</v>
      </c>
      <c r="F18" s="266" t="s">
        <v>312</v>
      </c>
      <c r="G18" s="266" t="s">
        <v>312</v>
      </c>
      <c r="H18" s="266" t="s">
        <v>312</v>
      </c>
      <c r="I18" s="267" t="s">
        <v>313</v>
      </c>
      <c r="J18" s="357" t="s">
        <v>312</v>
      </c>
      <c r="K18" s="267" t="s">
        <v>313</v>
      </c>
      <c r="L18" s="267" t="s">
        <v>313</v>
      </c>
      <c r="M18" s="266" t="s">
        <v>313</v>
      </c>
      <c r="N18" s="266" t="s">
        <v>313</v>
      </c>
      <c r="O18" s="100"/>
      <c r="P18" s="92"/>
      <c r="Q18" s="93"/>
      <c r="R18" s="93"/>
      <c r="S18" s="93"/>
      <c r="T18" s="93"/>
      <c r="U18" s="93"/>
      <c r="V18" s="93"/>
      <c r="W18" s="93"/>
      <c r="X18" s="93"/>
      <c r="Y18" s="93"/>
      <c r="Z18" s="93"/>
      <c r="AA18" s="93"/>
    </row>
    <row r="19" spans="1:27" ht="20.100000000000001" customHeight="1" x14ac:dyDescent="0.25">
      <c r="A19" s="93"/>
      <c r="B19" s="92"/>
      <c r="C19" s="97"/>
      <c r="D19" s="99"/>
      <c r="E19" s="114" t="s">
        <v>243</v>
      </c>
      <c r="F19" s="266" t="s">
        <v>312</v>
      </c>
      <c r="G19" s="266" t="s">
        <v>312</v>
      </c>
      <c r="H19" s="266" t="s">
        <v>312</v>
      </c>
      <c r="I19" s="267" t="s">
        <v>313</v>
      </c>
      <c r="J19" s="357" t="s">
        <v>312</v>
      </c>
      <c r="K19" s="267" t="s">
        <v>313</v>
      </c>
      <c r="L19" s="267" t="s">
        <v>313</v>
      </c>
      <c r="M19" s="266" t="s">
        <v>313</v>
      </c>
      <c r="N19" s="266" t="s">
        <v>313</v>
      </c>
      <c r="O19" s="100"/>
      <c r="P19" s="92"/>
      <c r="Q19" s="93"/>
      <c r="R19" s="93"/>
      <c r="S19" s="93"/>
      <c r="T19" s="93"/>
      <c r="U19" s="93"/>
      <c r="V19" s="93"/>
      <c r="W19" s="93"/>
      <c r="X19" s="93"/>
      <c r="Y19" s="93"/>
      <c r="Z19" s="93"/>
      <c r="AA19" s="93"/>
    </row>
    <row r="20" spans="1:27" ht="20.100000000000001" customHeight="1" x14ac:dyDescent="0.25">
      <c r="A20" s="93"/>
      <c r="B20" s="92"/>
      <c r="C20" s="97"/>
      <c r="D20" s="99"/>
      <c r="E20" s="114" t="s">
        <v>266</v>
      </c>
      <c r="F20" s="266" t="s">
        <v>312</v>
      </c>
      <c r="G20" s="266" t="s">
        <v>312</v>
      </c>
      <c r="H20" s="266" t="s">
        <v>312</v>
      </c>
      <c r="I20" s="267" t="s">
        <v>313</v>
      </c>
      <c r="J20" s="266" t="s">
        <v>312</v>
      </c>
      <c r="K20" s="267" t="s">
        <v>313</v>
      </c>
      <c r="L20" s="267" t="s">
        <v>313</v>
      </c>
      <c r="M20" s="266" t="s">
        <v>313</v>
      </c>
      <c r="N20" s="266" t="s">
        <v>313</v>
      </c>
      <c r="O20" s="100"/>
      <c r="P20" s="92"/>
      <c r="Q20" s="93"/>
      <c r="R20" s="93"/>
      <c r="S20" s="93"/>
      <c r="T20" s="93"/>
      <c r="U20" s="93"/>
      <c r="V20" s="93"/>
      <c r="W20" s="93"/>
      <c r="X20" s="93"/>
      <c r="Y20" s="93"/>
      <c r="Z20" s="93"/>
      <c r="AA20" s="93"/>
    </row>
    <row r="21" spans="1:27" ht="20.100000000000001" customHeight="1" x14ac:dyDescent="0.25">
      <c r="A21" s="93"/>
      <c r="B21" s="92"/>
      <c r="C21" s="97"/>
      <c r="D21" s="99"/>
      <c r="E21" s="114" t="s">
        <v>261</v>
      </c>
      <c r="F21" s="266" t="s">
        <v>312</v>
      </c>
      <c r="G21" s="266" t="s">
        <v>312</v>
      </c>
      <c r="H21" s="266" t="s">
        <v>312</v>
      </c>
      <c r="I21" s="267" t="s">
        <v>313</v>
      </c>
      <c r="J21" s="357" t="s">
        <v>312</v>
      </c>
      <c r="K21" s="267" t="s">
        <v>313</v>
      </c>
      <c r="L21" s="267" t="s">
        <v>313</v>
      </c>
      <c r="M21" s="266" t="s">
        <v>313</v>
      </c>
      <c r="N21" s="266" t="s">
        <v>313</v>
      </c>
      <c r="O21" s="100"/>
      <c r="P21" s="92"/>
      <c r="Q21" s="93"/>
      <c r="R21" s="93"/>
      <c r="S21" s="93"/>
      <c r="T21" s="93"/>
      <c r="U21" s="93"/>
      <c r="V21" s="93"/>
      <c r="W21" s="93"/>
      <c r="X21" s="93"/>
      <c r="Y21" s="93"/>
      <c r="Z21" s="93"/>
      <c r="AA21" s="93"/>
    </row>
    <row r="22" spans="1:27" ht="20.100000000000001" customHeight="1" x14ac:dyDescent="0.25">
      <c r="A22" s="93"/>
      <c r="B22" s="92"/>
      <c r="C22" s="97"/>
      <c r="D22" s="99"/>
      <c r="E22" s="114" t="s">
        <v>262</v>
      </c>
      <c r="F22" s="266" t="s">
        <v>312</v>
      </c>
      <c r="G22" s="266" t="s">
        <v>312</v>
      </c>
      <c r="H22" s="266" t="s">
        <v>312</v>
      </c>
      <c r="I22" s="267" t="s">
        <v>313</v>
      </c>
      <c r="J22" s="357" t="s">
        <v>312</v>
      </c>
      <c r="K22" s="267" t="s">
        <v>313</v>
      </c>
      <c r="L22" s="267" t="s">
        <v>313</v>
      </c>
      <c r="M22" s="266" t="s">
        <v>313</v>
      </c>
      <c r="N22" s="266" t="s">
        <v>313</v>
      </c>
      <c r="O22" s="100"/>
      <c r="P22" s="92"/>
      <c r="Q22" s="93"/>
      <c r="R22" s="93"/>
      <c r="S22" s="93"/>
      <c r="T22" s="93"/>
      <c r="U22" s="93"/>
      <c r="V22" s="93"/>
      <c r="W22" s="93"/>
      <c r="X22" s="93"/>
      <c r="Y22" s="93"/>
      <c r="Z22" s="93"/>
      <c r="AA22" s="93"/>
    </row>
    <row r="23" spans="1:27" ht="20.100000000000001" customHeight="1" x14ac:dyDescent="0.25">
      <c r="A23" s="93"/>
      <c r="B23" s="92"/>
      <c r="C23" s="97"/>
      <c r="D23" s="99"/>
      <c r="E23" s="114" t="s">
        <v>263</v>
      </c>
      <c r="F23" s="266" t="s">
        <v>312</v>
      </c>
      <c r="G23" s="266" t="s">
        <v>312</v>
      </c>
      <c r="H23" s="266" t="s">
        <v>312</v>
      </c>
      <c r="I23" s="267" t="s">
        <v>313</v>
      </c>
      <c r="J23" s="357" t="s">
        <v>312</v>
      </c>
      <c r="K23" s="267" t="s">
        <v>313</v>
      </c>
      <c r="L23" s="267" t="s">
        <v>313</v>
      </c>
      <c r="M23" s="266" t="s">
        <v>313</v>
      </c>
      <c r="N23" s="266" t="s">
        <v>313</v>
      </c>
      <c r="O23" s="100"/>
      <c r="P23" s="92"/>
      <c r="Q23" s="93"/>
      <c r="R23" s="93"/>
      <c r="S23" s="93"/>
      <c r="T23" s="93"/>
      <c r="U23" s="93"/>
      <c r="V23" s="93"/>
      <c r="W23" s="93"/>
      <c r="X23" s="93"/>
      <c r="Y23" s="93"/>
      <c r="Z23" s="93"/>
      <c r="AA23" s="93"/>
    </row>
    <row r="24" spans="1:27" ht="20.100000000000001" customHeight="1" x14ac:dyDescent="0.25">
      <c r="A24" s="93"/>
      <c r="B24" s="92"/>
      <c r="C24" s="97"/>
      <c r="D24" s="99"/>
      <c r="E24" s="114" t="s">
        <v>264</v>
      </c>
      <c r="F24" s="266" t="s">
        <v>312</v>
      </c>
      <c r="G24" s="266" t="s">
        <v>312</v>
      </c>
      <c r="H24" s="266" t="s">
        <v>312</v>
      </c>
      <c r="I24" s="267" t="s">
        <v>313</v>
      </c>
      <c r="J24" s="357" t="s">
        <v>312</v>
      </c>
      <c r="K24" s="267" t="s">
        <v>313</v>
      </c>
      <c r="L24" s="267" t="s">
        <v>313</v>
      </c>
      <c r="M24" s="266" t="s">
        <v>313</v>
      </c>
      <c r="N24" s="266" t="s">
        <v>313</v>
      </c>
      <c r="O24" s="100"/>
      <c r="P24" s="92"/>
      <c r="Q24" s="93"/>
      <c r="R24" s="93"/>
      <c r="S24" s="93"/>
      <c r="T24" s="93"/>
      <c r="U24" s="93"/>
      <c r="V24" s="93"/>
      <c r="W24" s="93"/>
      <c r="X24" s="93"/>
      <c r="Y24" s="93"/>
      <c r="Z24" s="93"/>
      <c r="AA24" s="93"/>
    </row>
    <row r="25" spans="1:27" ht="20.100000000000001" customHeight="1" x14ac:dyDescent="0.25">
      <c r="A25" s="93"/>
      <c r="B25" s="92"/>
      <c r="C25" s="97"/>
      <c r="D25" s="99"/>
      <c r="E25" s="114" t="s">
        <v>265</v>
      </c>
      <c r="F25" s="266" t="s">
        <v>312</v>
      </c>
      <c r="G25" s="266" t="s">
        <v>312</v>
      </c>
      <c r="H25" s="266" t="s">
        <v>312</v>
      </c>
      <c r="I25" s="267" t="s">
        <v>313</v>
      </c>
      <c r="J25" s="357" t="s">
        <v>312</v>
      </c>
      <c r="K25" s="267" t="s">
        <v>313</v>
      </c>
      <c r="L25" s="267" t="s">
        <v>313</v>
      </c>
      <c r="M25" s="266" t="s">
        <v>313</v>
      </c>
      <c r="N25" s="266" t="s">
        <v>313</v>
      </c>
      <c r="O25" s="100"/>
      <c r="P25" s="92"/>
      <c r="Q25" s="93"/>
      <c r="R25" s="93"/>
      <c r="S25" s="93"/>
      <c r="T25" s="93"/>
      <c r="U25" s="93"/>
      <c r="V25" s="93"/>
      <c r="W25" s="93"/>
      <c r="X25" s="93"/>
      <c r="Y25" s="93"/>
      <c r="Z25" s="93"/>
      <c r="AA25" s="93"/>
    </row>
    <row r="26" spans="1:27" ht="20.100000000000001" customHeight="1" x14ac:dyDescent="0.25">
      <c r="A26" s="93"/>
      <c r="B26" s="92"/>
      <c r="C26" s="97"/>
      <c r="D26" s="99"/>
      <c r="E26" s="114" t="s">
        <v>24</v>
      </c>
      <c r="F26" s="356" t="s">
        <v>312</v>
      </c>
      <c r="G26" s="356" t="s">
        <v>312</v>
      </c>
      <c r="H26" s="356" t="s">
        <v>312</v>
      </c>
      <c r="I26" s="267" t="s">
        <v>313</v>
      </c>
      <c r="J26" s="266" t="s">
        <v>312</v>
      </c>
      <c r="K26" s="267" t="s">
        <v>313</v>
      </c>
      <c r="L26" s="267" t="s">
        <v>313</v>
      </c>
      <c r="M26" s="266" t="s">
        <v>313</v>
      </c>
      <c r="N26" s="266" t="s">
        <v>313</v>
      </c>
      <c r="O26" s="100"/>
      <c r="P26" s="92"/>
      <c r="Q26" s="93"/>
      <c r="R26" s="93"/>
      <c r="S26" s="93"/>
      <c r="T26" s="93"/>
      <c r="U26" s="93"/>
      <c r="V26" s="93"/>
      <c r="W26" s="93"/>
      <c r="X26" s="93"/>
      <c r="Y26" s="93"/>
      <c r="Z26" s="93"/>
      <c r="AA26" s="93"/>
    </row>
    <row r="27" spans="1:27" ht="20.100000000000001" customHeight="1" x14ac:dyDescent="0.25">
      <c r="A27" s="93"/>
      <c r="B27" s="92"/>
      <c r="C27" s="97"/>
      <c r="D27" s="99"/>
      <c r="E27" s="114" t="s">
        <v>193</v>
      </c>
      <c r="F27" s="356" t="s">
        <v>312</v>
      </c>
      <c r="G27" s="356" t="s">
        <v>312</v>
      </c>
      <c r="H27" s="356" t="s">
        <v>312</v>
      </c>
      <c r="I27" s="267" t="s">
        <v>313</v>
      </c>
      <c r="J27" s="356" t="s">
        <v>312</v>
      </c>
      <c r="K27" s="267" t="s">
        <v>313</v>
      </c>
      <c r="L27" s="267" t="s">
        <v>313</v>
      </c>
      <c r="M27" s="266" t="s">
        <v>313</v>
      </c>
      <c r="N27" s="266" t="s">
        <v>313</v>
      </c>
      <c r="O27" s="100"/>
      <c r="P27" s="92"/>
      <c r="Q27" s="93"/>
      <c r="R27" s="93"/>
      <c r="S27" s="93"/>
      <c r="T27" s="93"/>
      <c r="U27" s="93"/>
      <c r="V27" s="93"/>
      <c r="W27" s="93"/>
      <c r="X27" s="93"/>
      <c r="Y27" s="93"/>
      <c r="Z27" s="93"/>
      <c r="AA27" s="93"/>
    </row>
    <row r="28" spans="1:27" ht="20.100000000000001" customHeight="1" x14ac:dyDescent="0.25">
      <c r="A28" s="93"/>
      <c r="B28" s="92"/>
      <c r="C28" s="97"/>
      <c r="D28" s="99"/>
      <c r="E28" s="114" t="s">
        <v>305</v>
      </c>
      <c r="F28" s="356" t="s">
        <v>312</v>
      </c>
      <c r="G28" s="356" t="s">
        <v>312</v>
      </c>
      <c r="H28" s="356" t="s">
        <v>312</v>
      </c>
      <c r="I28" s="267" t="s">
        <v>313</v>
      </c>
      <c r="J28" s="356"/>
      <c r="K28" s="267" t="s">
        <v>313</v>
      </c>
      <c r="L28" s="267" t="s">
        <v>313</v>
      </c>
      <c r="M28" s="266" t="s">
        <v>313</v>
      </c>
      <c r="N28" s="266" t="s">
        <v>313</v>
      </c>
      <c r="O28" s="100"/>
      <c r="P28" s="92"/>
      <c r="Q28" s="93"/>
      <c r="R28" s="93"/>
      <c r="S28" s="93"/>
      <c r="T28" s="93"/>
      <c r="U28" s="93"/>
      <c r="V28" s="93"/>
      <c r="W28" s="93"/>
      <c r="X28" s="93"/>
      <c r="Y28" s="93"/>
      <c r="Z28" s="93"/>
      <c r="AA28" s="93"/>
    </row>
    <row r="29" spans="1:27" ht="20.100000000000001" customHeight="1" x14ac:dyDescent="0.25">
      <c r="A29" s="93"/>
      <c r="B29" s="92"/>
      <c r="C29" s="97"/>
      <c r="D29" s="99"/>
      <c r="E29" s="114" t="s">
        <v>142</v>
      </c>
      <c r="F29" s="356" t="s">
        <v>312</v>
      </c>
      <c r="G29" s="356" t="s">
        <v>312</v>
      </c>
      <c r="H29" s="356" t="s">
        <v>312</v>
      </c>
      <c r="I29" s="267" t="s">
        <v>313</v>
      </c>
      <c r="J29" s="356"/>
      <c r="K29" s="267" t="s">
        <v>313</v>
      </c>
      <c r="L29" s="267" t="s">
        <v>313</v>
      </c>
      <c r="M29" s="266" t="s">
        <v>313</v>
      </c>
      <c r="N29" s="266" t="s">
        <v>313</v>
      </c>
      <c r="O29" s="100"/>
      <c r="P29" s="92"/>
      <c r="Q29" s="93"/>
      <c r="R29" s="93"/>
      <c r="S29" s="93"/>
      <c r="T29" s="93"/>
      <c r="U29" s="93"/>
      <c r="V29" s="93"/>
      <c r="W29" s="93"/>
      <c r="X29" s="93"/>
      <c r="Y29" s="93"/>
      <c r="Z29" s="93"/>
      <c r="AA29" s="93"/>
    </row>
    <row r="30" spans="1:27" ht="20.100000000000001" customHeight="1" x14ac:dyDescent="0.25">
      <c r="A30" s="93"/>
      <c r="B30" s="92"/>
      <c r="C30" s="97"/>
      <c r="D30" s="99"/>
      <c r="E30" s="114" t="s">
        <v>162</v>
      </c>
      <c r="F30" s="356" t="s">
        <v>312</v>
      </c>
      <c r="G30" s="356" t="s">
        <v>312</v>
      </c>
      <c r="H30" s="356" t="s">
        <v>312</v>
      </c>
      <c r="I30" s="267" t="s">
        <v>313</v>
      </c>
      <c r="J30" s="356"/>
      <c r="K30" s="267" t="s">
        <v>313</v>
      </c>
      <c r="L30" s="267" t="s">
        <v>313</v>
      </c>
      <c r="M30" s="266" t="s">
        <v>313</v>
      </c>
      <c r="N30" s="266" t="s">
        <v>313</v>
      </c>
      <c r="O30" s="100"/>
      <c r="P30" s="92"/>
      <c r="Q30" s="93"/>
      <c r="R30" s="93"/>
      <c r="S30" s="93"/>
      <c r="T30" s="93"/>
      <c r="U30" s="93"/>
      <c r="V30" s="93"/>
      <c r="W30" s="93"/>
      <c r="X30" s="93"/>
      <c r="Y30" s="93"/>
      <c r="Z30" s="93"/>
      <c r="AA30" s="93"/>
    </row>
    <row r="31" spans="1:27" ht="20.100000000000001" customHeight="1" x14ac:dyDescent="0.25">
      <c r="A31" s="93"/>
      <c r="B31" s="92"/>
      <c r="C31" s="97"/>
      <c r="D31" s="99"/>
      <c r="E31" s="114" t="s">
        <v>163</v>
      </c>
      <c r="F31" s="356" t="s">
        <v>312</v>
      </c>
      <c r="G31" s="356" t="s">
        <v>312</v>
      </c>
      <c r="H31" s="356" t="s">
        <v>312</v>
      </c>
      <c r="I31" s="267" t="s">
        <v>313</v>
      </c>
      <c r="J31" s="356"/>
      <c r="K31" s="267" t="s">
        <v>313</v>
      </c>
      <c r="L31" s="267" t="s">
        <v>313</v>
      </c>
      <c r="M31" s="266" t="s">
        <v>313</v>
      </c>
      <c r="N31" s="266" t="s">
        <v>313</v>
      </c>
      <c r="O31" s="100"/>
      <c r="P31" s="92"/>
      <c r="Q31" s="93"/>
      <c r="R31" s="93"/>
      <c r="S31" s="93"/>
      <c r="T31" s="93"/>
      <c r="U31" s="93"/>
      <c r="V31" s="93"/>
      <c r="W31" s="93"/>
      <c r="X31" s="93"/>
      <c r="Y31" s="93"/>
      <c r="Z31" s="93"/>
      <c r="AA31" s="93"/>
    </row>
    <row r="32" spans="1:27" ht="20.100000000000001" customHeight="1" x14ac:dyDescent="0.25">
      <c r="A32" s="93"/>
      <c r="B32" s="92"/>
      <c r="C32" s="97"/>
      <c r="D32" s="99"/>
      <c r="E32" s="114" t="s">
        <v>145</v>
      </c>
      <c r="F32" s="356" t="s">
        <v>312</v>
      </c>
      <c r="G32" s="356" t="s">
        <v>312</v>
      </c>
      <c r="H32" s="356" t="s">
        <v>312</v>
      </c>
      <c r="I32" s="267" t="s">
        <v>313</v>
      </c>
      <c r="J32" s="356"/>
      <c r="K32" s="267" t="s">
        <v>313</v>
      </c>
      <c r="L32" s="267" t="s">
        <v>313</v>
      </c>
      <c r="M32" s="266" t="s">
        <v>313</v>
      </c>
      <c r="N32" s="266" t="s">
        <v>313</v>
      </c>
      <c r="O32" s="100"/>
      <c r="P32" s="92"/>
      <c r="Q32" s="93"/>
      <c r="R32" s="93"/>
      <c r="S32" s="93"/>
      <c r="T32" s="93"/>
      <c r="U32" s="93"/>
      <c r="V32" s="93"/>
      <c r="W32" s="93"/>
      <c r="X32" s="93"/>
      <c r="Y32" s="93"/>
      <c r="Z32" s="93"/>
      <c r="AA32" s="93"/>
    </row>
    <row r="33" spans="1:27" ht="20.100000000000001" customHeight="1" x14ac:dyDescent="0.25">
      <c r="A33" s="93"/>
      <c r="B33" s="92"/>
      <c r="C33" s="97"/>
      <c r="D33" s="99"/>
      <c r="E33" s="114" t="s">
        <v>139</v>
      </c>
      <c r="F33" s="356" t="s">
        <v>312</v>
      </c>
      <c r="G33" s="356" t="s">
        <v>312</v>
      </c>
      <c r="H33" s="356" t="s">
        <v>312</v>
      </c>
      <c r="I33" s="267" t="s">
        <v>313</v>
      </c>
      <c r="J33" s="356"/>
      <c r="K33" s="267" t="s">
        <v>313</v>
      </c>
      <c r="L33" s="267" t="s">
        <v>313</v>
      </c>
      <c r="M33" s="266" t="s">
        <v>313</v>
      </c>
      <c r="N33" s="266" t="s">
        <v>313</v>
      </c>
      <c r="O33" s="100"/>
      <c r="P33" s="92"/>
      <c r="Q33" s="93"/>
      <c r="R33" s="93"/>
      <c r="S33" s="93"/>
      <c r="T33" s="93"/>
      <c r="U33" s="93"/>
      <c r="V33" s="93"/>
      <c r="W33" s="93"/>
      <c r="X33" s="93"/>
      <c r="Y33" s="93"/>
      <c r="Z33" s="93"/>
      <c r="AA33" s="93"/>
    </row>
    <row r="34" spans="1:27" ht="20.100000000000001" customHeight="1" x14ac:dyDescent="0.25">
      <c r="A34" s="93"/>
      <c r="B34" s="92"/>
      <c r="C34" s="97"/>
      <c r="D34" s="99"/>
      <c r="E34" s="114" t="s">
        <v>140</v>
      </c>
      <c r="F34" s="356" t="s">
        <v>312</v>
      </c>
      <c r="G34" s="356" t="s">
        <v>312</v>
      </c>
      <c r="H34" s="356" t="s">
        <v>312</v>
      </c>
      <c r="I34" s="267" t="s">
        <v>313</v>
      </c>
      <c r="J34" s="356"/>
      <c r="K34" s="267" t="s">
        <v>313</v>
      </c>
      <c r="L34" s="267" t="s">
        <v>313</v>
      </c>
      <c r="M34" s="266" t="s">
        <v>313</v>
      </c>
      <c r="N34" s="266" t="s">
        <v>313</v>
      </c>
      <c r="O34" s="100"/>
      <c r="P34" s="92"/>
      <c r="Q34" s="93"/>
      <c r="R34" s="93"/>
      <c r="S34" s="93"/>
      <c r="T34" s="93"/>
      <c r="U34" s="93"/>
      <c r="V34" s="93"/>
      <c r="W34" s="93"/>
      <c r="X34" s="93"/>
      <c r="Y34" s="93"/>
      <c r="Z34" s="93"/>
      <c r="AA34" s="93"/>
    </row>
    <row r="35" spans="1:27" ht="20.100000000000001" customHeight="1" x14ac:dyDescent="0.25">
      <c r="A35" s="93"/>
      <c r="B35" s="92"/>
      <c r="C35" s="97"/>
      <c r="D35" s="99"/>
      <c r="E35" s="114" t="s">
        <v>143</v>
      </c>
      <c r="F35" s="356" t="s">
        <v>312</v>
      </c>
      <c r="G35" s="356" t="s">
        <v>312</v>
      </c>
      <c r="H35" s="356" t="s">
        <v>312</v>
      </c>
      <c r="I35" s="267" t="s">
        <v>313</v>
      </c>
      <c r="J35" s="356" t="s">
        <v>312</v>
      </c>
      <c r="K35" s="267" t="s">
        <v>313</v>
      </c>
      <c r="L35" s="267" t="s">
        <v>313</v>
      </c>
      <c r="M35" s="266" t="s">
        <v>313</v>
      </c>
      <c r="N35" s="266" t="s">
        <v>313</v>
      </c>
      <c r="O35" s="100"/>
      <c r="P35" s="92"/>
      <c r="Q35" s="93"/>
      <c r="R35" s="93"/>
      <c r="S35" s="93"/>
      <c r="T35" s="93"/>
      <c r="U35" s="93"/>
      <c r="V35" s="93"/>
      <c r="W35" s="93"/>
      <c r="X35" s="93"/>
      <c r="Y35" s="93"/>
      <c r="Z35" s="93"/>
      <c r="AA35" s="93"/>
    </row>
    <row r="36" spans="1:27" ht="20.100000000000001" customHeight="1" x14ac:dyDescent="0.25">
      <c r="A36" s="93"/>
      <c r="B36" s="92"/>
      <c r="C36" s="97"/>
      <c r="D36" s="99"/>
      <c r="E36" s="114" t="s">
        <v>138</v>
      </c>
      <c r="F36" s="266" t="s">
        <v>312</v>
      </c>
      <c r="G36" s="266" t="s">
        <v>312</v>
      </c>
      <c r="H36" s="266" t="s">
        <v>312</v>
      </c>
      <c r="I36" s="267" t="s">
        <v>313</v>
      </c>
      <c r="J36" s="356" t="s">
        <v>312</v>
      </c>
      <c r="K36" s="267" t="s">
        <v>313</v>
      </c>
      <c r="L36" s="267" t="s">
        <v>313</v>
      </c>
      <c r="M36" s="266" t="s">
        <v>313</v>
      </c>
      <c r="N36" s="266" t="s">
        <v>313</v>
      </c>
      <c r="O36" s="100"/>
      <c r="P36" s="92"/>
      <c r="Q36" s="93"/>
      <c r="R36" s="93"/>
      <c r="S36" s="93"/>
      <c r="T36" s="93"/>
      <c r="U36" s="93"/>
      <c r="V36" s="93"/>
      <c r="W36" s="93"/>
      <c r="X36" s="93"/>
      <c r="Y36" s="93"/>
      <c r="Z36" s="93"/>
      <c r="AA36" s="93"/>
    </row>
    <row r="37" spans="1:27" ht="20.100000000000001" customHeight="1" x14ac:dyDescent="0.25">
      <c r="A37" s="93"/>
      <c r="B37" s="92"/>
      <c r="C37" s="97"/>
      <c r="D37" s="99"/>
      <c r="E37" s="114" t="s">
        <v>141</v>
      </c>
      <c r="F37" s="356" t="s">
        <v>312</v>
      </c>
      <c r="G37" s="356" t="s">
        <v>312</v>
      </c>
      <c r="H37" s="356" t="s">
        <v>312</v>
      </c>
      <c r="I37" s="267" t="s">
        <v>313</v>
      </c>
      <c r="J37" s="356"/>
      <c r="K37" s="267" t="s">
        <v>313</v>
      </c>
      <c r="L37" s="267" t="s">
        <v>313</v>
      </c>
      <c r="M37" s="266" t="s">
        <v>313</v>
      </c>
      <c r="N37" s="266" t="s">
        <v>313</v>
      </c>
      <c r="O37" s="100"/>
      <c r="P37" s="92"/>
      <c r="Q37" s="93"/>
      <c r="R37" s="93"/>
      <c r="S37" s="93"/>
      <c r="T37" s="93"/>
      <c r="U37" s="93"/>
      <c r="V37" s="93"/>
      <c r="W37" s="93"/>
      <c r="X37" s="93"/>
      <c r="Y37" s="93"/>
      <c r="Z37" s="93"/>
      <c r="AA37" s="93"/>
    </row>
    <row r="38" spans="1:27" ht="20.100000000000001" customHeight="1" x14ac:dyDescent="0.25">
      <c r="A38" s="93"/>
      <c r="B38" s="92"/>
      <c r="C38" s="97"/>
      <c r="D38" s="99"/>
      <c r="E38" s="114" t="s">
        <v>309</v>
      </c>
      <c r="F38" s="266" t="s">
        <v>312</v>
      </c>
      <c r="G38" s="266" t="s">
        <v>312</v>
      </c>
      <c r="H38" s="266" t="s">
        <v>312</v>
      </c>
      <c r="I38" s="267" t="s">
        <v>313</v>
      </c>
      <c r="J38" s="266" t="s">
        <v>312</v>
      </c>
      <c r="K38" s="267" t="s">
        <v>313</v>
      </c>
      <c r="L38" s="267" t="s">
        <v>313</v>
      </c>
      <c r="M38" s="266" t="s">
        <v>313</v>
      </c>
      <c r="N38" s="266" t="s">
        <v>313</v>
      </c>
      <c r="O38" s="100"/>
      <c r="P38" s="92"/>
      <c r="Q38" s="93"/>
      <c r="R38" s="93"/>
      <c r="S38" s="93"/>
      <c r="T38" s="93"/>
      <c r="U38" s="93"/>
      <c r="V38" s="93"/>
      <c r="W38" s="93"/>
      <c r="X38" s="93"/>
      <c r="Y38" s="93"/>
      <c r="Z38" s="93"/>
      <c r="AA38" s="93"/>
    </row>
    <row r="39" spans="1:27" ht="20.100000000000001" customHeight="1" x14ac:dyDescent="0.25">
      <c r="A39" s="93"/>
      <c r="B39" s="92"/>
      <c r="C39" s="97"/>
      <c r="D39" s="99"/>
      <c r="E39" s="114" t="s">
        <v>146</v>
      </c>
      <c r="F39" s="266" t="s">
        <v>312</v>
      </c>
      <c r="G39" s="266" t="s">
        <v>312</v>
      </c>
      <c r="H39" s="266" t="s">
        <v>312</v>
      </c>
      <c r="I39" s="267" t="s">
        <v>313</v>
      </c>
      <c r="J39" s="266" t="s">
        <v>313</v>
      </c>
      <c r="K39" s="267" t="s">
        <v>313</v>
      </c>
      <c r="L39" s="267" t="s">
        <v>313</v>
      </c>
      <c r="M39" s="266" t="s">
        <v>313</v>
      </c>
      <c r="N39" s="266" t="s">
        <v>313</v>
      </c>
      <c r="O39" s="100"/>
      <c r="P39" s="92"/>
      <c r="Q39" s="93"/>
      <c r="R39" s="93"/>
      <c r="S39" s="93"/>
      <c r="T39" s="93"/>
      <c r="U39" s="93"/>
      <c r="V39" s="93"/>
      <c r="W39" s="93"/>
      <c r="X39" s="93"/>
      <c r="Y39" s="93"/>
      <c r="Z39" s="93"/>
      <c r="AA39" s="93"/>
    </row>
    <row r="40" spans="1:27" ht="20.100000000000001" customHeight="1" x14ac:dyDescent="0.25">
      <c r="A40" s="93"/>
      <c r="B40" s="92"/>
      <c r="C40" s="97"/>
      <c r="D40" s="99"/>
      <c r="E40" s="114" t="s">
        <v>147</v>
      </c>
      <c r="F40" s="266" t="s">
        <v>312</v>
      </c>
      <c r="G40" s="266" t="s">
        <v>312</v>
      </c>
      <c r="H40" s="266" t="s">
        <v>313</v>
      </c>
      <c r="I40" s="267" t="s">
        <v>313</v>
      </c>
      <c r="J40" s="266" t="s">
        <v>313</v>
      </c>
      <c r="K40" s="267" t="s">
        <v>313</v>
      </c>
      <c r="L40" s="267" t="s">
        <v>313</v>
      </c>
      <c r="M40" s="266" t="s">
        <v>313</v>
      </c>
      <c r="N40" s="266" t="s">
        <v>313</v>
      </c>
      <c r="O40" s="100"/>
      <c r="P40" s="92"/>
      <c r="Q40" s="93"/>
      <c r="R40" s="93"/>
      <c r="S40" s="93"/>
      <c r="T40" s="93"/>
      <c r="U40" s="93"/>
      <c r="V40" s="93"/>
      <c r="W40" s="93"/>
      <c r="X40" s="93"/>
      <c r="Y40" s="93"/>
      <c r="Z40" s="93"/>
      <c r="AA40" s="93"/>
    </row>
    <row r="41" spans="1:27" ht="20.100000000000001" customHeight="1" x14ac:dyDescent="0.25">
      <c r="A41" s="93"/>
      <c r="B41" s="92"/>
      <c r="C41" s="97"/>
      <c r="D41" s="99"/>
      <c r="E41" s="114" t="s">
        <v>308</v>
      </c>
      <c r="F41" s="266" t="s">
        <v>312</v>
      </c>
      <c r="G41" s="266" t="s">
        <v>312</v>
      </c>
      <c r="H41" s="266" t="s">
        <v>312</v>
      </c>
      <c r="I41" s="267" t="s">
        <v>313</v>
      </c>
      <c r="J41" s="266" t="s">
        <v>313</v>
      </c>
      <c r="K41" s="267" t="s">
        <v>313</v>
      </c>
      <c r="L41" s="267" t="s">
        <v>313</v>
      </c>
      <c r="M41" s="266" t="s">
        <v>313</v>
      </c>
      <c r="N41" s="266" t="s">
        <v>313</v>
      </c>
      <c r="O41" s="100"/>
      <c r="P41" s="92"/>
      <c r="Q41" s="93"/>
      <c r="R41" s="93"/>
      <c r="S41" s="93"/>
      <c r="T41" s="93"/>
      <c r="U41" s="93"/>
      <c r="V41" s="93"/>
      <c r="W41" s="93"/>
      <c r="X41" s="93"/>
      <c r="Y41" s="93"/>
      <c r="Z41" s="93"/>
      <c r="AA41" s="93"/>
    </row>
    <row r="42" spans="1:27" ht="20.100000000000001" customHeight="1" x14ac:dyDescent="0.25">
      <c r="A42" s="93"/>
      <c r="B42" s="92"/>
      <c r="C42" s="97"/>
      <c r="D42" s="99"/>
      <c r="E42" s="114" t="s">
        <v>307</v>
      </c>
      <c r="F42" s="266" t="s">
        <v>312</v>
      </c>
      <c r="G42" s="266" t="s">
        <v>312</v>
      </c>
      <c r="H42" s="266" t="s">
        <v>312</v>
      </c>
      <c r="I42" s="267" t="s">
        <v>313</v>
      </c>
      <c r="J42" s="266" t="s">
        <v>312</v>
      </c>
      <c r="K42" s="267" t="s">
        <v>313</v>
      </c>
      <c r="L42" s="267" t="s">
        <v>313</v>
      </c>
      <c r="M42" s="266" t="s">
        <v>313</v>
      </c>
      <c r="N42" s="266" t="s">
        <v>313</v>
      </c>
      <c r="O42" s="100"/>
      <c r="P42" s="92"/>
      <c r="Q42" s="93"/>
      <c r="R42" s="93"/>
      <c r="S42" s="93"/>
      <c r="T42" s="93"/>
      <c r="U42" s="93"/>
      <c r="V42" s="93"/>
      <c r="W42" s="93"/>
      <c r="X42" s="93"/>
      <c r="Y42" s="93"/>
      <c r="Z42" s="93"/>
      <c r="AA42" s="93"/>
    </row>
    <row r="43" spans="1:27" ht="20.100000000000001" customHeight="1" x14ac:dyDescent="0.25">
      <c r="A43" s="93"/>
      <c r="B43" s="92"/>
      <c r="C43" s="97"/>
      <c r="D43" s="99"/>
      <c r="E43" s="114" t="s">
        <v>144</v>
      </c>
      <c r="F43" s="266" t="s">
        <v>312</v>
      </c>
      <c r="G43" s="266" t="s">
        <v>312</v>
      </c>
      <c r="H43" s="266" t="s">
        <v>312</v>
      </c>
      <c r="I43" s="267" t="s">
        <v>313</v>
      </c>
      <c r="J43" s="266" t="s">
        <v>312</v>
      </c>
      <c r="K43" s="267" t="s">
        <v>313</v>
      </c>
      <c r="L43" s="267" t="s">
        <v>313</v>
      </c>
      <c r="M43" s="266" t="s">
        <v>313</v>
      </c>
      <c r="N43" s="266" t="s">
        <v>313</v>
      </c>
      <c r="O43" s="100"/>
      <c r="P43" s="92"/>
      <c r="Q43" s="93"/>
      <c r="R43" s="93"/>
      <c r="S43" s="93"/>
      <c r="T43" s="93"/>
      <c r="U43" s="93"/>
      <c r="V43" s="93"/>
      <c r="W43" s="93"/>
      <c r="X43" s="93"/>
      <c r="Y43" s="93"/>
      <c r="Z43" s="93"/>
      <c r="AA43" s="93"/>
    </row>
    <row r="44" spans="1:27" ht="20.100000000000001" customHeight="1" x14ac:dyDescent="0.25">
      <c r="A44" s="93"/>
      <c r="B44" s="92"/>
      <c r="C44" s="97"/>
      <c r="D44" s="99"/>
      <c r="E44" s="114" t="s">
        <v>179</v>
      </c>
      <c r="F44" s="266" t="s">
        <v>312</v>
      </c>
      <c r="G44" s="266" t="s">
        <v>312</v>
      </c>
      <c r="H44" s="266" t="s">
        <v>312</v>
      </c>
      <c r="I44" s="267" t="s">
        <v>313</v>
      </c>
      <c r="J44" s="266" t="s">
        <v>313</v>
      </c>
      <c r="K44" s="267" t="s">
        <v>313</v>
      </c>
      <c r="L44" s="267" t="s">
        <v>313</v>
      </c>
      <c r="M44" s="266" t="s">
        <v>313</v>
      </c>
      <c r="N44" s="266" t="s">
        <v>313</v>
      </c>
      <c r="O44" s="100"/>
      <c r="P44" s="92"/>
      <c r="Q44" s="93"/>
      <c r="R44" s="93"/>
      <c r="S44" s="93"/>
      <c r="T44" s="93"/>
      <c r="U44" s="93"/>
      <c r="V44" s="93"/>
      <c r="W44" s="93"/>
      <c r="X44" s="93"/>
      <c r="Y44" s="93"/>
      <c r="Z44" s="93"/>
      <c r="AA44" s="93"/>
    </row>
    <row r="45" spans="1:27" ht="20.100000000000001" customHeight="1" x14ac:dyDescent="0.25">
      <c r="A45" s="93"/>
      <c r="B45" s="92"/>
      <c r="C45" s="97"/>
      <c r="D45" s="265"/>
      <c r="E45" s="99" t="s">
        <v>297</v>
      </c>
      <c r="F45" s="266" t="s">
        <v>312</v>
      </c>
      <c r="G45" s="266" t="s">
        <v>312</v>
      </c>
      <c r="H45" s="266" t="s">
        <v>312</v>
      </c>
      <c r="I45" s="267" t="s">
        <v>313</v>
      </c>
      <c r="J45" s="266" t="s">
        <v>313</v>
      </c>
      <c r="K45" s="267" t="s">
        <v>313</v>
      </c>
      <c r="L45" s="267" t="s">
        <v>313</v>
      </c>
      <c r="M45" s="266" t="s">
        <v>313</v>
      </c>
      <c r="N45" s="266" t="s">
        <v>313</v>
      </c>
      <c r="O45" s="100"/>
      <c r="P45" s="92"/>
      <c r="Q45" s="93"/>
      <c r="R45" s="93"/>
      <c r="S45" s="93"/>
      <c r="T45" s="93"/>
      <c r="U45" s="93"/>
      <c r="V45" s="93"/>
      <c r="W45" s="93"/>
      <c r="X45" s="93"/>
      <c r="Y45" s="93"/>
      <c r="Z45" s="93"/>
      <c r="AA45" s="93"/>
    </row>
    <row r="46" spans="1:27" ht="15.75" thickBot="1" x14ac:dyDescent="0.3">
      <c r="A46" s="93"/>
      <c r="B46" s="92"/>
      <c r="C46" s="103"/>
      <c r="D46" s="104"/>
      <c r="E46" s="104"/>
      <c r="F46" s="256"/>
      <c r="G46" s="256"/>
      <c r="H46" s="256"/>
      <c r="I46" s="256"/>
      <c r="J46" s="256"/>
      <c r="K46" s="256"/>
      <c r="L46" s="256"/>
      <c r="M46" s="256"/>
      <c r="N46" s="256"/>
      <c r="O46" s="105"/>
      <c r="P46" s="92"/>
      <c r="Q46" s="93"/>
      <c r="R46" s="93"/>
      <c r="S46" s="93"/>
      <c r="T46" s="93"/>
      <c r="U46" s="93"/>
      <c r="V46" s="93"/>
      <c r="W46" s="93"/>
      <c r="X46" s="93"/>
      <c r="Y46" s="93"/>
      <c r="Z46" s="93"/>
      <c r="AA46" s="93"/>
    </row>
    <row r="47" spans="1:27" ht="5.0999999999999996" customHeight="1" x14ac:dyDescent="0.25">
      <c r="A47" s="93"/>
      <c r="B47" s="92"/>
      <c r="C47" s="92"/>
      <c r="D47" s="92"/>
      <c r="E47" s="92"/>
      <c r="F47" s="254"/>
      <c r="G47" s="254"/>
      <c r="H47" s="254"/>
      <c r="I47" s="254"/>
      <c r="J47" s="254"/>
      <c r="K47" s="254"/>
      <c r="L47" s="254"/>
      <c r="M47" s="254"/>
      <c r="N47" s="254"/>
      <c r="O47" s="92"/>
      <c r="P47" s="92"/>
      <c r="Q47" s="93"/>
      <c r="R47" s="93"/>
      <c r="S47" s="93"/>
      <c r="T47" s="93"/>
      <c r="U47" s="93"/>
      <c r="V47" s="93"/>
      <c r="W47" s="93"/>
      <c r="X47" s="93"/>
      <c r="Y47" s="93"/>
      <c r="Z47" s="93"/>
      <c r="AA47" s="93"/>
    </row>
    <row r="48" spans="1:27" x14ac:dyDescent="0.25">
      <c r="A48" s="93"/>
      <c r="B48" s="93"/>
      <c r="C48" s="93"/>
      <c r="D48" s="93"/>
      <c r="E48" s="93"/>
      <c r="F48" s="253"/>
      <c r="G48" s="253"/>
      <c r="H48" s="253"/>
      <c r="I48" s="253"/>
      <c r="J48" s="253"/>
      <c r="K48" s="253"/>
      <c r="L48" s="253"/>
      <c r="M48" s="253"/>
      <c r="N48" s="253"/>
      <c r="O48" s="93"/>
      <c r="P48" s="93"/>
      <c r="Q48" s="93"/>
      <c r="R48" s="93"/>
      <c r="S48" s="93"/>
      <c r="T48" s="93"/>
      <c r="U48" s="93"/>
      <c r="V48" s="93"/>
      <c r="W48" s="93"/>
      <c r="X48" s="93"/>
      <c r="Y48" s="93"/>
      <c r="Z48" s="93"/>
      <c r="AA48" s="93"/>
    </row>
    <row r="49" spans="1:27" x14ac:dyDescent="0.25">
      <c r="A49" s="93"/>
      <c r="B49" s="93"/>
      <c r="C49" s="93"/>
      <c r="D49" s="93"/>
      <c r="E49" s="93"/>
      <c r="F49" s="253"/>
      <c r="G49" s="253"/>
      <c r="H49" s="253"/>
      <c r="I49" s="253"/>
      <c r="J49" s="253"/>
      <c r="K49" s="253"/>
      <c r="L49" s="253"/>
      <c r="M49" s="253"/>
      <c r="N49" s="253"/>
      <c r="O49" s="93"/>
      <c r="P49" s="93"/>
      <c r="Q49" s="93"/>
      <c r="R49" s="93"/>
      <c r="S49" s="93"/>
      <c r="T49" s="93"/>
      <c r="U49" s="93"/>
      <c r="V49" s="93"/>
      <c r="W49" s="93"/>
      <c r="X49" s="93"/>
      <c r="Y49" s="93"/>
      <c r="Z49" s="93"/>
      <c r="AA49" s="93"/>
    </row>
    <row r="50" spans="1:27" x14ac:dyDescent="0.25">
      <c r="A50" s="93"/>
      <c r="B50" s="93"/>
      <c r="C50" s="93"/>
      <c r="D50" s="93"/>
      <c r="E50" s="93"/>
      <c r="F50" s="253"/>
      <c r="G50" s="253"/>
      <c r="H50" s="253"/>
      <c r="I50" s="253"/>
      <c r="J50" s="253"/>
      <c r="K50" s="253"/>
      <c r="L50" s="253"/>
      <c r="M50" s="253"/>
      <c r="N50" s="253"/>
      <c r="O50" s="93"/>
      <c r="P50" s="93"/>
      <c r="Q50" s="93"/>
      <c r="R50" s="93"/>
      <c r="S50" s="93"/>
      <c r="T50" s="93"/>
      <c r="U50" s="93"/>
      <c r="V50" s="93"/>
      <c r="W50" s="93"/>
      <c r="X50" s="93"/>
      <c r="Y50" s="93"/>
      <c r="Z50" s="93"/>
      <c r="AA50" s="93"/>
    </row>
    <row r="51" spans="1:27" x14ac:dyDescent="0.25">
      <c r="A51" s="93"/>
      <c r="B51" s="93"/>
      <c r="C51" s="93"/>
      <c r="D51" s="93"/>
      <c r="E51" s="93"/>
      <c r="F51" s="253"/>
      <c r="G51" s="253"/>
      <c r="H51" s="253"/>
      <c r="I51" s="253"/>
      <c r="J51" s="253"/>
      <c r="K51" s="253"/>
      <c r="L51" s="253"/>
      <c r="M51" s="253"/>
      <c r="N51" s="253"/>
      <c r="O51" s="93"/>
      <c r="P51" s="93"/>
      <c r="Q51" s="93"/>
      <c r="R51" s="93"/>
      <c r="S51" s="93"/>
      <c r="T51" s="93"/>
      <c r="U51" s="93"/>
      <c r="V51" s="93"/>
      <c r="W51" s="93"/>
      <c r="X51" s="93"/>
      <c r="Y51" s="93"/>
      <c r="Z51" s="93"/>
      <c r="AA51" s="93"/>
    </row>
    <row r="52" spans="1:27" x14ac:dyDescent="0.25">
      <c r="A52" s="93"/>
      <c r="B52" s="93"/>
      <c r="C52" s="93"/>
      <c r="D52" s="93"/>
      <c r="E52" s="93"/>
      <c r="F52" s="253"/>
      <c r="G52" s="253"/>
      <c r="H52" s="253"/>
      <c r="I52" s="253"/>
      <c r="J52" s="253"/>
      <c r="K52" s="253"/>
      <c r="L52" s="253"/>
      <c r="M52" s="253"/>
      <c r="N52" s="253"/>
      <c r="O52" s="93"/>
      <c r="P52" s="93"/>
      <c r="Q52" s="93"/>
      <c r="R52" s="93"/>
      <c r="S52" s="93"/>
      <c r="T52" s="93"/>
      <c r="U52" s="93"/>
      <c r="V52" s="93"/>
      <c r="W52" s="93"/>
      <c r="X52" s="93"/>
      <c r="Y52" s="93"/>
      <c r="Z52" s="93"/>
      <c r="AA52" s="93"/>
    </row>
    <row r="53" spans="1:27" x14ac:dyDescent="0.25">
      <c r="A53" s="93"/>
      <c r="B53" s="93"/>
      <c r="C53" s="93"/>
      <c r="D53" s="93"/>
      <c r="E53" s="93"/>
      <c r="F53" s="253"/>
      <c r="G53" s="253"/>
      <c r="H53" s="253"/>
      <c r="I53" s="253"/>
      <c r="J53" s="253"/>
      <c r="K53" s="253"/>
      <c r="L53" s="253"/>
      <c r="M53" s="253"/>
      <c r="N53" s="253"/>
      <c r="O53" s="93"/>
      <c r="P53" s="93"/>
      <c r="Q53" s="93"/>
      <c r="R53" s="93"/>
      <c r="S53" s="93"/>
      <c r="T53" s="93"/>
      <c r="U53" s="93"/>
      <c r="V53" s="93"/>
      <c r="W53" s="93"/>
      <c r="X53" s="93"/>
      <c r="Y53" s="93"/>
      <c r="Z53" s="93"/>
      <c r="AA53" s="93"/>
    </row>
    <row r="54" spans="1:27" x14ac:dyDescent="0.25">
      <c r="A54" s="93"/>
      <c r="B54" s="93"/>
      <c r="C54" s="93"/>
      <c r="D54" s="93"/>
      <c r="E54" s="93"/>
      <c r="F54" s="253"/>
      <c r="G54" s="253"/>
      <c r="H54" s="253"/>
      <c r="I54" s="253"/>
      <c r="J54" s="253"/>
      <c r="K54" s="253"/>
      <c r="L54" s="253"/>
      <c r="M54" s="253"/>
      <c r="N54" s="253"/>
      <c r="O54" s="93"/>
      <c r="P54" s="93"/>
      <c r="Q54" s="93"/>
      <c r="R54" s="93"/>
      <c r="S54" s="93"/>
      <c r="T54" s="93"/>
      <c r="U54" s="93"/>
      <c r="V54" s="93"/>
      <c r="W54" s="93"/>
      <c r="X54" s="93"/>
      <c r="Y54" s="93"/>
      <c r="Z54" s="93"/>
      <c r="AA54" s="93"/>
    </row>
    <row r="55" spans="1:27" x14ac:dyDescent="0.25">
      <c r="A55" s="93"/>
      <c r="B55" s="93"/>
      <c r="C55" s="93"/>
      <c r="D55" s="93"/>
      <c r="E55" s="93"/>
      <c r="F55" s="253"/>
      <c r="G55" s="253"/>
      <c r="H55" s="253"/>
      <c r="I55" s="253"/>
      <c r="J55" s="253"/>
      <c r="K55" s="253"/>
      <c r="L55" s="253"/>
      <c r="M55" s="253"/>
      <c r="N55" s="253"/>
      <c r="O55" s="93"/>
      <c r="P55" s="93"/>
      <c r="Q55" s="93"/>
      <c r="R55" s="93"/>
      <c r="S55" s="93"/>
      <c r="T55" s="93"/>
      <c r="U55" s="93"/>
      <c r="V55" s="93"/>
      <c r="W55" s="93"/>
      <c r="X55" s="93"/>
      <c r="Y55" s="93"/>
      <c r="Z55" s="93"/>
      <c r="AA55" s="93"/>
    </row>
    <row r="56" spans="1:27" x14ac:dyDescent="0.25">
      <c r="A56" s="93"/>
      <c r="B56" s="93"/>
      <c r="C56" s="93"/>
      <c r="D56" s="93"/>
      <c r="E56" s="93"/>
      <c r="F56" s="253"/>
      <c r="G56" s="253"/>
      <c r="H56" s="253"/>
      <c r="I56" s="253"/>
      <c r="J56" s="253"/>
      <c r="K56" s="253"/>
      <c r="L56" s="253"/>
      <c r="M56" s="253"/>
      <c r="N56" s="253"/>
      <c r="O56" s="93"/>
      <c r="P56" s="93"/>
      <c r="Q56" s="93"/>
      <c r="R56" s="93"/>
      <c r="S56" s="93"/>
      <c r="T56" s="93"/>
      <c r="U56" s="93"/>
      <c r="V56" s="93"/>
      <c r="W56" s="93"/>
      <c r="X56" s="93"/>
      <c r="Y56" s="93"/>
      <c r="Z56" s="93"/>
      <c r="AA56" s="93"/>
    </row>
    <row r="57" spans="1:27" x14ac:dyDescent="0.25">
      <c r="A57" s="93"/>
      <c r="B57" s="93"/>
      <c r="C57" s="93"/>
      <c r="D57" s="93"/>
      <c r="E57" s="93"/>
      <c r="F57" s="253"/>
      <c r="G57" s="253"/>
      <c r="H57" s="253"/>
      <c r="I57" s="253"/>
      <c r="J57" s="253"/>
      <c r="K57" s="253"/>
      <c r="L57" s="253"/>
      <c r="M57" s="253"/>
      <c r="N57" s="253"/>
      <c r="O57" s="93"/>
      <c r="P57" s="93"/>
      <c r="Q57" s="93"/>
      <c r="R57" s="93"/>
      <c r="S57" s="93"/>
      <c r="T57" s="93"/>
      <c r="U57" s="93"/>
      <c r="V57" s="93"/>
      <c r="W57" s="93"/>
      <c r="X57" s="93"/>
      <c r="Y57" s="93"/>
      <c r="Z57" s="93"/>
      <c r="AA57" s="93"/>
    </row>
    <row r="58" spans="1:27" x14ac:dyDescent="0.25">
      <c r="A58" s="93"/>
      <c r="B58" s="93"/>
      <c r="C58" s="93"/>
      <c r="D58" s="93"/>
      <c r="E58" s="93"/>
      <c r="F58" s="253"/>
      <c r="G58" s="253"/>
      <c r="H58" s="253"/>
      <c r="I58" s="253"/>
      <c r="J58" s="253"/>
      <c r="K58" s="253"/>
      <c r="L58" s="253"/>
      <c r="M58" s="253"/>
      <c r="N58" s="253"/>
      <c r="O58" s="93"/>
      <c r="P58" s="93"/>
      <c r="Q58" s="93"/>
      <c r="R58" s="93"/>
      <c r="S58" s="93"/>
      <c r="T58" s="93"/>
      <c r="U58" s="93"/>
      <c r="V58" s="93"/>
      <c r="W58" s="93"/>
      <c r="X58" s="93"/>
      <c r="Y58" s="93"/>
      <c r="Z58" s="93"/>
      <c r="AA58" s="93"/>
    </row>
    <row r="59" spans="1:27" x14ac:dyDescent="0.25">
      <c r="A59" s="93"/>
      <c r="B59" s="93"/>
      <c r="C59" s="93"/>
      <c r="D59" s="93"/>
      <c r="E59" s="93"/>
      <c r="F59" s="253"/>
      <c r="G59" s="253"/>
      <c r="H59" s="253"/>
      <c r="I59" s="253"/>
      <c r="J59" s="253"/>
      <c r="K59" s="253"/>
      <c r="L59" s="253"/>
      <c r="M59" s="253"/>
      <c r="N59" s="253"/>
      <c r="O59" s="93"/>
      <c r="P59" s="93"/>
      <c r="Q59" s="93"/>
      <c r="R59" s="93"/>
      <c r="S59" s="93"/>
      <c r="T59" s="93"/>
      <c r="U59" s="93"/>
      <c r="V59" s="93"/>
      <c r="W59" s="93"/>
      <c r="X59" s="93"/>
      <c r="Y59" s="93"/>
      <c r="Z59" s="93"/>
      <c r="AA59" s="93"/>
    </row>
    <row r="60" spans="1:27" x14ac:dyDescent="0.25">
      <c r="A60" s="93"/>
      <c r="B60" s="93"/>
      <c r="C60" s="93"/>
      <c r="D60" s="93"/>
      <c r="E60" s="93"/>
      <c r="F60" s="253"/>
      <c r="G60" s="253"/>
      <c r="H60" s="253"/>
      <c r="I60" s="253"/>
      <c r="J60" s="253"/>
      <c r="K60" s="253"/>
      <c r="L60" s="253"/>
      <c r="M60" s="253"/>
      <c r="N60" s="253"/>
      <c r="O60" s="93"/>
      <c r="P60" s="93"/>
      <c r="Q60" s="93"/>
      <c r="R60" s="93"/>
      <c r="S60" s="93"/>
      <c r="T60" s="93"/>
      <c r="U60" s="93"/>
      <c r="V60" s="93"/>
      <c r="W60" s="93"/>
      <c r="X60" s="93"/>
      <c r="Y60" s="93"/>
      <c r="Z60" s="93"/>
      <c r="AA60" s="93"/>
    </row>
    <row r="61" spans="1:27" x14ac:dyDescent="0.25">
      <c r="A61" s="93"/>
      <c r="B61" s="93"/>
      <c r="C61" s="93"/>
      <c r="D61" s="93"/>
      <c r="E61" s="93"/>
      <c r="F61" s="253"/>
      <c r="G61" s="253"/>
      <c r="H61" s="253"/>
      <c r="I61" s="253"/>
      <c r="J61" s="253"/>
      <c r="K61" s="253"/>
      <c r="L61" s="253"/>
      <c r="M61" s="253"/>
      <c r="N61" s="253"/>
      <c r="O61" s="93"/>
      <c r="P61" s="93"/>
      <c r="Q61" s="93"/>
      <c r="R61" s="93"/>
      <c r="S61" s="93"/>
      <c r="T61" s="93"/>
      <c r="U61" s="93"/>
      <c r="V61" s="93"/>
      <c r="W61" s="93"/>
      <c r="X61" s="93"/>
      <c r="Y61" s="93"/>
      <c r="Z61" s="93"/>
      <c r="AA61" s="93"/>
    </row>
    <row r="62" spans="1:27" x14ac:dyDescent="0.25">
      <c r="A62" s="93"/>
      <c r="B62" s="93"/>
      <c r="C62" s="93"/>
      <c r="D62" s="93"/>
      <c r="E62" s="93"/>
      <c r="F62" s="253"/>
      <c r="G62" s="253"/>
      <c r="H62" s="253"/>
      <c r="I62" s="253"/>
      <c r="J62" s="253"/>
      <c r="K62" s="253"/>
      <c r="L62" s="253"/>
      <c r="M62" s="253"/>
      <c r="N62" s="253"/>
      <c r="O62" s="93"/>
      <c r="P62" s="93"/>
      <c r="Q62" s="93"/>
      <c r="R62" s="93"/>
      <c r="S62" s="93"/>
      <c r="T62" s="93"/>
      <c r="U62" s="93"/>
      <c r="V62" s="93"/>
      <c r="W62" s="93"/>
      <c r="X62" s="93"/>
      <c r="Y62" s="93"/>
      <c r="Z62" s="93"/>
      <c r="AA62" s="93"/>
    </row>
    <row r="63" spans="1:27" x14ac:dyDescent="0.25">
      <c r="A63" s="93"/>
      <c r="B63" s="93"/>
      <c r="C63" s="93"/>
      <c r="D63" s="93"/>
      <c r="E63" s="93"/>
      <c r="F63" s="253"/>
      <c r="G63" s="253"/>
      <c r="H63" s="253"/>
      <c r="I63" s="253"/>
      <c r="J63" s="253"/>
      <c r="K63" s="253"/>
      <c r="L63" s="253"/>
      <c r="M63" s="253"/>
      <c r="N63" s="253"/>
      <c r="O63" s="93"/>
      <c r="P63" s="93"/>
      <c r="Q63" s="93"/>
      <c r="R63" s="93"/>
      <c r="S63" s="93"/>
      <c r="T63" s="93"/>
      <c r="U63" s="93"/>
      <c r="V63" s="93"/>
      <c r="W63" s="93"/>
      <c r="X63" s="93"/>
      <c r="Y63" s="93"/>
      <c r="Z63" s="93"/>
      <c r="AA63" s="93"/>
    </row>
    <row r="64" spans="1:27" x14ac:dyDescent="0.25">
      <c r="A64" s="93"/>
      <c r="B64" s="93"/>
      <c r="C64" s="93"/>
      <c r="D64" s="93"/>
      <c r="E64" s="93"/>
      <c r="F64" s="253"/>
      <c r="G64" s="253"/>
      <c r="H64" s="253"/>
      <c r="I64" s="253"/>
      <c r="J64" s="253"/>
      <c r="K64" s="253"/>
      <c r="L64" s="253"/>
      <c r="M64" s="253"/>
      <c r="N64" s="253"/>
      <c r="O64" s="93"/>
      <c r="P64" s="93"/>
      <c r="Q64" s="93"/>
      <c r="R64" s="93"/>
      <c r="S64" s="93"/>
      <c r="T64" s="93"/>
      <c r="U64" s="93"/>
      <c r="V64" s="93"/>
      <c r="W64" s="93"/>
      <c r="X64" s="93"/>
      <c r="Y64" s="93"/>
      <c r="Z64" s="93"/>
      <c r="AA64" s="93"/>
    </row>
    <row r="65" spans="1:27" x14ac:dyDescent="0.25">
      <c r="A65" s="93"/>
      <c r="B65" s="93"/>
      <c r="C65" s="93"/>
      <c r="D65" s="93"/>
      <c r="E65" s="93"/>
      <c r="F65" s="253"/>
      <c r="G65" s="253"/>
      <c r="H65" s="253"/>
      <c r="I65" s="253"/>
      <c r="J65" s="253"/>
      <c r="K65" s="253"/>
      <c r="L65" s="253"/>
      <c r="M65" s="253"/>
      <c r="N65" s="253"/>
      <c r="O65" s="93"/>
      <c r="P65" s="93"/>
      <c r="Q65" s="93"/>
      <c r="R65" s="93"/>
      <c r="S65" s="93"/>
      <c r="T65" s="93"/>
      <c r="U65" s="93"/>
      <c r="V65" s="93"/>
      <c r="W65" s="93"/>
      <c r="X65" s="93"/>
      <c r="Y65" s="93"/>
      <c r="Z65" s="93"/>
      <c r="AA65" s="93"/>
    </row>
    <row r="66" spans="1:27" x14ac:dyDescent="0.25">
      <c r="A66" s="93"/>
      <c r="B66" s="93"/>
      <c r="C66" s="93"/>
      <c r="D66" s="93"/>
      <c r="E66" s="93"/>
      <c r="F66" s="253"/>
      <c r="G66" s="253"/>
      <c r="H66" s="253"/>
      <c r="I66" s="253"/>
      <c r="J66" s="253"/>
      <c r="K66" s="253"/>
      <c r="L66" s="253"/>
      <c r="M66" s="253"/>
      <c r="N66" s="253"/>
      <c r="O66" s="93"/>
      <c r="P66" s="93"/>
      <c r="Q66" s="93"/>
      <c r="R66" s="93"/>
      <c r="S66" s="93"/>
      <c r="T66" s="93"/>
      <c r="U66" s="93"/>
      <c r="V66" s="93"/>
      <c r="W66" s="93"/>
      <c r="X66" s="93"/>
      <c r="Y66" s="93"/>
      <c r="Z66" s="93"/>
      <c r="AA66" s="93"/>
    </row>
    <row r="67" spans="1:27" x14ac:dyDescent="0.25">
      <c r="A67" s="93"/>
      <c r="B67" s="93"/>
      <c r="C67" s="93"/>
      <c r="D67" s="93"/>
      <c r="E67" s="93"/>
      <c r="F67" s="253"/>
      <c r="G67" s="253"/>
      <c r="H67" s="253"/>
      <c r="I67" s="253"/>
      <c r="J67" s="253"/>
      <c r="K67" s="253"/>
      <c r="L67" s="253"/>
      <c r="M67" s="253"/>
      <c r="N67" s="253"/>
      <c r="O67" s="93"/>
      <c r="P67" s="93"/>
      <c r="Q67" s="93"/>
      <c r="R67" s="93"/>
      <c r="S67" s="93"/>
      <c r="T67" s="93"/>
      <c r="U67" s="93"/>
      <c r="V67" s="93"/>
      <c r="W67" s="93"/>
      <c r="X67" s="93"/>
      <c r="Y67" s="93"/>
      <c r="Z67" s="93"/>
      <c r="AA67" s="93"/>
    </row>
    <row r="68" spans="1:27" x14ac:dyDescent="0.25">
      <c r="A68" s="93"/>
      <c r="B68" s="93"/>
      <c r="C68" s="93"/>
      <c r="D68" s="93"/>
      <c r="E68" s="93"/>
      <c r="F68" s="253"/>
      <c r="G68" s="253"/>
      <c r="H68" s="253"/>
      <c r="I68" s="253"/>
      <c r="J68" s="253"/>
      <c r="K68" s="253"/>
      <c r="L68" s="253"/>
      <c r="M68" s="253"/>
      <c r="N68" s="253"/>
      <c r="O68" s="93"/>
      <c r="P68" s="93"/>
      <c r="Q68" s="93"/>
      <c r="R68" s="93"/>
      <c r="S68" s="93"/>
      <c r="T68" s="93"/>
      <c r="U68" s="93"/>
      <c r="V68" s="93"/>
      <c r="W68" s="93"/>
      <c r="X68" s="93"/>
      <c r="Y68" s="93"/>
      <c r="Z68" s="93"/>
      <c r="AA68" s="93"/>
    </row>
    <row r="69" spans="1:27" x14ac:dyDescent="0.25">
      <c r="A69" s="93"/>
      <c r="B69" s="93"/>
      <c r="C69" s="93"/>
      <c r="D69" s="93"/>
      <c r="E69" s="93"/>
      <c r="F69" s="253"/>
      <c r="G69" s="253"/>
      <c r="H69" s="253"/>
      <c r="I69" s="253"/>
      <c r="J69" s="253"/>
      <c r="K69" s="253"/>
      <c r="L69" s="253"/>
      <c r="M69" s="253"/>
      <c r="N69" s="253"/>
      <c r="O69" s="93"/>
      <c r="P69" s="93"/>
      <c r="Q69" s="93"/>
      <c r="R69" s="93"/>
      <c r="S69" s="93"/>
      <c r="T69" s="93"/>
      <c r="U69" s="93"/>
      <c r="V69" s="93"/>
      <c r="W69" s="93"/>
      <c r="X69" s="93"/>
      <c r="Y69" s="93"/>
      <c r="Z69" s="93"/>
      <c r="AA69" s="93"/>
    </row>
    <row r="70" spans="1:27" x14ac:dyDescent="0.25">
      <c r="A70" s="93"/>
      <c r="B70" s="93"/>
      <c r="C70" s="93"/>
      <c r="D70" s="93"/>
      <c r="E70" s="93"/>
      <c r="F70" s="253"/>
      <c r="G70" s="253"/>
      <c r="H70" s="253"/>
      <c r="I70" s="253"/>
      <c r="J70" s="253"/>
      <c r="K70" s="253"/>
      <c r="L70" s="253"/>
      <c r="M70" s="253"/>
      <c r="N70" s="253"/>
      <c r="O70" s="93"/>
      <c r="P70" s="93"/>
      <c r="Q70" s="93"/>
      <c r="R70" s="93"/>
      <c r="S70" s="93"/>
      <c r="T70" s="93"/>
      <c r="U70" s="93"/>
      <c r="V70" s="93"/>
      <c r="W70" s="93"/>
      <c r="X70" s="93"/>
      <c r="Y70" s="93"/>
      <c r="Z70" s="93"/>
      <c r="AA70" s="93"/>
    </row>
    <row r="71" spans="1:27" x14ac:dyDescent="0.25">
      <c r="A71" s="93"/>
      <c r="B71" s="93"/>
      <c r="C71" s="93"/>
      <c r="D71" s="93"/>
      <c r="E71" s="93"/>
      <c r="F71" s="253"/>
      <c r="G71" s="253"/>
      <c r="H71" s="253"/>
      <c r="I71" s="253"/>
      <c r="J71" s="253"/>
      <c r="K71" s="253"/>
      <c r="L71" s="253"/>
      <c r="M71" s="253"/>
      <c r="N71" s="253"/>
      <c r="O71" s="93"/>
      <c r="P71" s="93"/>
      <c r="Q71" s="93"/>
      <c r="R71" s="93"/>
      <c r="S71" s="93"/>
      <c r="T71" s="93"/>
      <c r="U71" s="93"/>
      <c r="V71" s="93"/>
      <c r="W71" s="93"/>
      <c r="X71" s="93"/>
      <c r="Y71" s="93"/>
      <c r="Z71" s="93"/>
      <c r="AA71" s="93"/>
    </row>
    <row r="72" spans="1:27" x14ac:dyDescent="0.25">
      <c r="A72" s="93"/>
    </row>
  </sheetData>
  <sheetProtection password="8E71" sheet="1" objects="1" scenarios="1"/>
  <pageMargins left="0.25" right="0.25" top="0.5" bottom="0.5" header="0.3" footer="0.3"/>
  <pageSetup scale="76" orientation="portrait" cellComments="asDisplayed" r:id="rId1"/>
  <headerFooter>
    <oddFooter>&amp;L&amp;10&amp;Z&amp;F&amp;R&amp;10Prepared &amp;D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outlinePr summaryBelow="0"/>
    <pageSetUpPr fitToPage="1"/>
  </sheetPr>
  <dimension ref="A1:V74"/>
  <sheetViews>
    <sheetView topLeftCell="A10" workbookViewId="0">
      <selection activeCell="F27" sqref="F27"/>
    </sheetView>
  </sheetViews>
  <sheetFormatPr defaultRowHeight="15" x14ac:dyDescent="0.25"/>
  <cols>
    <col min="1" max="1" width="1.7109375" customWidth="1"/>
    <col min="2" max="2" width="0.85546875" customWidth="1"/>
    <col min="3" max="3" width="4.28515625" customWidth="1"/>
    <col min="4" max="4" width="4.7109375" customWidth="1"/>
    <col min="5" max="5" width="39.5703125" customWidth="1"/>
    <col min="6" max="8" width="12.5703125" customWidth="1"/>
    <col min="9" max="9" width="46.28515625" bestFit="1" customWidth="1"/>
    <col min="10" max="10" width="4.28515625" customWidth="1"/>
    <col min="11" max="11" width="0.85546875" customWidth="1"/>
    <col min="12" max="12" width="1.7109375" customWidth="1"/>
  </cols>
  <sheetData>
    <row r="1" spans="1:22" x14ac:dyDescent="0.25">
      <c r="A1" s="93"/>
      <c r="B1" s="93"/>
      <c r="C1" s="93"/>
      <c r="D1" s="93"/>
      <c r="E1" s="93"/>
      <c r="F1" s="93"/>
      <c r="G1" s="93"/>
      <c r="H1" s="93"/>
      <c r="I1" s="93"/>
      <c r="J1" s="93"/>
      <c r="K1" s="93"/>
      <c r="L1" s="93"/>
      <c r="M1" s="93"/>
      <c r="N1" s="93"/>
      <c r="O1" s="93"/>
      <c r="P1" s="93"/>
      <c r="Q1" s="93"/>
      <c r="R1" s="93"/>
      <c r="S1" s="93"/>
      <c r="T1" s="93"/>
      <c r="U1" s="93"/>
      <c r="V1" s="93"/>
    </row>
    <row r="2" spans="1:22" ht="5.0999999999999996" customHeight="1" x14ac:dyDescent="0.25">
      <c r="A2" s="93"/>
      <c r="B2" s="92"/>
      <c r="C2" s="92"/>
      <c r="D2" s="92"/>
      <c r="E2" s="92"/>
      <c r="F2" s="92"/>
      <c r="G2" s="92"/>
      <c r="H2" s="92"/>
      <c r="I2" s="92"/>
      <c r="J2" s="92"/>
      <c r="K2" s="92"/>
      <c r="L2" s="93"/>
      <c r="M2" s="93"/>
      <c r="N2" s="93"/>
      <c r="O2" s="93"/>
      <c r="P2" s="93"/>
      <c r="Q2" s="93"/>
      <c r="R2" s="93"/>
      <c r="S2" s="93"/>
      <c r="T2" s="93"/>
      <c r="U2" s="93"/>
      <c r="V2" s="93"/>
    </row>
    <row r="3" spans="1:22" ht="36.75" customHeight="1" x14ac:dyDescent="0.25">
      <c r="A3" s="93"/>
      <c r="B3" s="92"/>
      <c r="C3" s="97"/>
      <c r="D3" s="116" t="s">
        <v>250</v>
      </c>
      <c r="E3" s="116"/>
      <c r="F3" s="116" t="s">
        <v>249</v>
      </c>
      <c r="G3" s="116" t="s">
        <v>167</v>
      </c>
      <c r="H3" s="116" t="s">
        <v>251</v>
      </c>
      <c r="I3" s="99"/>
      <c r="J3" s="100"/>
      <c r="K3" s="92"/>
      <c r="L3" s="93"/>
      <c r="M3" s="93"/>
      <c r="N3" s="93"/>
      <c r="O3" s="93"/>
      <c r="P3" s="93"/>
      <c r="Q3" s="93"/>
      <c r="R3" s="93"/>
      <c r="S3" s="93"/>
      <c r="T3" s="93"/>
      <c r="U3" s="93"/>
      <c r="V3" s="93"/>
    </row>
    <row r="4" spans="1:22" ht="36.75" customHeight="1" x14ac:dyDescent="0.25">
      <c r="A4" s="93"/>
      <c r="B4" s="92"/>
      <c r="C4" s="97"/>
      <c r="D4" s="99"/>
      <c r="E4" s="99"/>
      <c r="F4" s="99"/>
      <c r="G4" s="99"/>
      <c r="H4" s="106">
        <f>ESTIMATOR!$Y$31-SUM(ESTIMATOR!$Y$26:$Y$30)</f>
        <v>0</v>
      </c>
      <c r="I4" s="106" t="s">
        <v>253</v>
      </c>
      <c r="J4" s="100"/>
      <c r="K4" s="92"/>
      <c r="L4" s="93"/>
      <c r="M4" s="93"/>
      <c r="N4" s="93"/>
      <c r="O4" s="93"/>
      <c r="P4" s="93"/>
      <c r="Q4" s="93"/>
      <c r="R4" s="93"/>
      <c r="S4" s="93"/>
      <c r="T4" s="93"/>
      <c r="U4" s="93"/>
      <c r="V4" s="93"/>
    </row>
    <row r="5" spans="1:22" ht="20.100000000000001" customHeight="1" x14ac:dyDescent="0.25">
      <c r="A5" s="93"/>
      <c r="B5" s="92"/>
      <c r="C5" s="97"/>
      <c r="D5" s="170">
        <v>1</v>
      </c>
      <c r="E5" s="114" t="s">
        <v>3</v>
      </c>
      <c r="F5" s="99">
        <v>2</v>
      </c>
      <c r="G5" s="106">
        <f>ESTIMATOR!Z51</f>
        <v>0</v>
      </c>
      <c r="H5" s="106">
        <f>H4-G5</f>
        <v>0</v>
      </c>
      <c r="I5" s="106"/>
      <c r="J5" s="100"/>
      <c r="K5" s="92"/>
      <c r="L5" s="93"/>
      <c r="M5" s="93"/>
      <c r="N5" s="93"/>
      <c r="O5" s="93"/>
      <c r="P5" s="93"/>
      <c r="Q5" s="93"/>
      <c r="R5" s="93"/>
      <c r="S5" s="93"/>
      <c r="T5" s="93"/>
      <c r="U5" s="93"/>
      <c r="V5" s="93"/>
    </row>
    <row r="6" spans="1:22" ht="20.100000000000001" customHeight="1" x14ac:dyDescent="0.25">
      <c r="A6" s="93"/>
      <c r="B6" s="92"/>
      <c r="C6" s="97"/>
      <c r="D6" s="170">
        <v>1</v>
      </c>
      <c r="E6" s="114" t="s">
        <v>4</v>
      </c>
      <c r="F6" s="99">
        <v>4</v>
      </c>
      <c r="G6" s="106">
        <f>ESTIMATOR!Z52+ESTIMATOR!Z53</f>
        <v>0</v>
      </c>
      <c r="H6" s="106">
        <f t="shared" ref="H6:H46" si="0">H5-G6</f>
        <v>0</v>
      </c>
      <c r="I6" s="106"/>
      <c r="J6" s="100"/>
      <c r="K6" s="92"/>
      <c r="L6" s="93"/>
      <c r="M6" s="93"/>
      <c r="N6" s="93"/>
      <c r="O6" s="93"/>
      <c r="P6" s="93"/>
      <c r="Q6" s="93"/>
      <c r="R6" s="93"/>
      <c r="S6" s="93"/>
      <c r="T6" s="93"/>
      <c r="U6" s="93"/>
      <c r="V6" s="93"/>
    </row>
    <row r="7" spans="1:22" ht="20.100000000000001" customHeight="1" x14ac:dyDescent="0.25">
      <c r="A7" s="93"/>
      <c r="B7" s="92"/>
      <c r="C7" s="97"/>
      <c r="D7" s="170">
        <v>2</v>
      </c>
      <c r="E7" s="114" t="s">
        <v>1</v>
      </c>
      <c r="F7" s="99">
        <v>7</v>
      </c>
      <c r="G7" s="106">
        <f>ESTIMATOR!Z49</f>
        <v>0</v>
      </c>
      <c r="H7" s="106">
        <f t="shared" si="0"/>
        <v>0</v>
      </c>
      <c r="I7" s="106"/>
      <c r="J7" s="100"/>
      <c r="K7" s="92"/>
      <c r="L7" s="93"/>
      <c r="M7" s="93"/>
      <c r="N7" s="93"/>
      <c r="O7" s="93"/>
      <c r="P7" s="93"/>
      <c r="Q7" s="93"/>
      <c r="R7" s="93"/>
      <c r="S7" s="93"/>
      <c r="T7" s="93"/>
      <c r="U7" s="93"/>
      <c r="V7" s="93"/>
    </row>
    <row r="8" spans="1:22" ht="20.100000000000001" customHeight="1" x14ac:dyDescent="0.25">
      <c r="A8" s="93"/>
      <c r="B8" s="92"/>
      <c r="C8" s="97"/>
      <c r="D8" s="170">
        <v>3</v>
      </c>
      <c r="E8" s="114" t="s">
        <v>2</v>
      </c>
      <c r="F8" s="99">
        <v>9</v>
      </c>
      <c r="G8" s="106">
        <f>ESTIMATOR!Z50</f>
        <v>0</v>
      </c>
      <c r="H8" s="106">
        <f t="shared" si="0"/>
        <v>0</v>
      </c>
      <c r="I8" s="106"/>
      <c r="J8" s="100"/>
      <c r="K8" s="92"/>
      <c r="L8" s="93"/>
      <c r="M8" s="93"/>
      <c r="N8" s="93"/>
      <c r="O8" s="93"/>
      <c r="P8" s="93"/>
      <c r="Q8" s="93"/>
      <c r="R8" s="93"/>
      <c r="S8" s="93"/>
      <c r="T8" s="93"/>
      <c r="U8" s="93"/>
      <c r="V8" s="93"/>
    </row>
    <row r="9" spans="1:22" ht="20.100000000000001" customHeight="1" x14ac:dyDescent="0.25">
      <c r="A9" s="93"/>
      <c r="B9" s="92"/>
      <c r="C9" s="97"/>
      <c r="D9" s="170">
        <v>1</v>
      </c>
      <c r="E9" s="114" t="s">
        <v>286</v>
      </c>
      <c r="F9" s="99">
        <v>14</v>
      </c>
      <c r="G9" s="106">
        <f>ESTIMATOR!Z60</f>
        <v>0</v>
      </c>
      <c r="H9" s="106">
        <f t="shared" si="0"/>
        <v>0</v>
      </c>
      <c r="I9" s="106"/>
      <c r="J9" s="100"/>
      <c r="K9" s="92"/>
      <c r="L9" s="93"/>
      <c r="M9" s="93"/>
      <c r="N9" s="93"/>
      <c r="O9" s="93"/>
      <c r="P9" s="93"/>
      <c r="Q9" s="93"/>
      <c r="R9" s="93"/>
      <c r="S9" s="93"/>
      <c r="T9" s="93"/>
      <c r="U9" s="93"/>
      <c r="V9" s="93"/>
    </row>
    <row r="10" spans="1:22" ht="20.100000000000001" customHeight="1" x14ac:dyDescent="0.25">
      <c r="A10" s="93"/>
      <c r="B10" s="92"/>
      <c r="C10" s="97"/>
      <c r="D10" s="170">
        <v>2</v>
      </c>
      <c r="E10" s="114" t="s">
        <v>194</v>
      </c>
      <c r="F10" s="99">
        <v>16</v>
      </c>
      <c r="G10" s="106">
        <f>ESTIMATOR!Z61</f>
        <v>0</v>
      </c>
      <c r="H10" s="106">
        <f t="shared" si="0"/>
        <v>0</v>
      </c>
      <c r="I10" s="106"/>
      <c r="J10" s="100"/>
      <c r="K10" s="92"/>
      <c r="L10" s="93"/>
      <c r="M10" s="93"/>
      <c r="N10" s="93"/>
      <c r="O10" s="93"/>
      <c r="P10" s="93"/>
      <c r="Q10" s="93"/>
      <c r="R10" s="93"/>
      <c r="S10" s="93"/>
      <c r="T10" s="93"/>
      <c r="U10" s="93"/>
      <c r="V10" s="93"/>
    </row>
    <row r="11" spans="1:22" ht="20.100000000000001" customHeight="1" x14ac:dyDescent="0.25">
      <c r="A11" s="93"/>
      <c r="B11" s="92"/>
      <c r="C11" s="97"/>
      <c r="D11" s="170">
        <v>5</v>
      </c>
      <c r="E11" s="114" t="s">
        <v>248</v>
      </c>
      <c r="F11" s="99">
        <v>18</v>
      </c>
      <c r="G11" s="106">
        <f>ESTIMATOR!Z59</f>
        <v>0</v>
      </c>
      <c r="H11" s="106">
        <f t="shared" si="0"/>
        <v>0</v>
      </c>
      <c r="I11" s="106"/>
      <c r="J11" s="100"/>
      <c r="K11" s="92"/>
      <c r="L11" s="93"/>
      <c r="M11" s="93"/>
      <c r="N11" s="93"/>
      <c r="O11" s="93"/>
      <c r="P11" s="93"/>
      <c r="Q11" s="93"/>
      <c r="R11" s="93"/>
      <c r="S11" s="93"/>
      <c r="T11" s="93"/>
      <c r="U11" s="93"/>
      <c r="V11" s="93"/>
    </row>
    <row r="12" spans="1:22" ht="20.100000000000001" customHeight="1" x14ac:dyDescent="0.25">
      <c r="A12" s="93"/>
      <c r="B12" s="92"/>
      <c r="C12" s="97"/>
      <c r="D12" s="170">
        <v>5</v>
      </c>
      <c r="E12" s="114" t="s">
        <v>247</v>
      </c>
      <c r="F12" s="99">
        <v>19</v>
      </c>
      <c r="G12" s="106">
        <f>ESTIMATOR!Z58</f>
        <v>0</v>
      </c>
      <c r="H12" s="106">
        <f t="shared" si="0"/>
        <v>0</v>
      </c>
      <c r="I12" s="106"/>
      <c r="J12" s="100"/>
      <c r="K12" s="92"/>
      <c r="L12" s="93"/>
      <c r="M12" s="93"/>
      <c r="N12" s="93"/>
      <c r="O12" s="93"/>
      <c r="P12" s="93"/>
      <c r="Q12" s="93"/>
      <c r="R12" s="93"/>
      <c r="S12" s="93"/>
      <c r="T12" s="93"/>
      <c r="U12" s="93"/>
      <c r="V12" s="93"/>
    </row>
    <row r="13" spans="1:22" ht="20.100000000000001" customHeight="1" x14ac:dyDescent="0.25">
      <c r="A13" s="93"/>
      <c r="B13" s="92"/>
      <c r="C13" s="97"/>
      <c r="D13" s="170">
        <v>3</v>
      </c>
      <c r="E13" s="114" t="s">
        <v>239</v>
      </c>
      <c r="F13" s="99">
        <v>20</v>
      </c>
      <c r="G13" s="106">
        <f>ESTIMATOR!Z63</f>
        <v>0</v>
      </c>
      <c r="H13" s="106">
        <f t="shared" si="0"/>
        <v>0</v>
      </c>
      <c r="I13" s="106"/>
      <c r="J13" s="100"/>
      <c r="K13" s="92"/>
      <c r="L13" s="93"/>
      <c r="M13" s="93"/>
      <c r="N13" s="93"/>
      <c r="O13" s="93"/>
      <c r="P13" s="93"/>
      <c r="Q13" s="93"/>
      <c r="R13" s="93"/>
      <c r="S13" s="93"/>
      <c r="T13" s="93"/>
      <c r="U13" s="93"/>
      <c r="V13" s="93"/>
    </row>
    <row r="14" spans="1:22" ht="20.100000000000001" customHeight="1" x14ac:dyDescent="0.25">
      <c r="A14" s="93"/>
      <c r="B14" s="92"/>
      <c r="C14" s="97"/>
      <c r="D14" s="170">
        <v>3</v>
      </c>
      <c r="E14" s="114" t="s">
        <v>195</v>
      </c>
      <c r="F14" s="99">
        <v>22</v>
      </c>
      <c r="G14" s="106">
        <f>ESTIMATOR!Z62</f>
        <v>0</v>
      </c>
      <c r="H14" s="106">
        <f t="shared" si="0"/>
        <v>0</v>
      </c>
      <c r="I14" s="106"/>
      <c r="J14" s="100"/>
      <c r="K14" s="92"/>
      <c r="L14" s="93"/>
      <c r="M14" s="93"/>
      <c r="N14" s="93"/>
      <c r="O14" s="93"/>
      <c r="P14" s="93"/>
      <c r="Q14" s="93"/>
      <c r="R14" s="93"/>
      <c r="S14" s="93"/>
      <c r="T14" s="93"/>
      <c r="U14" s="93"/>
      <c r="V14" s="93"/>
    </row>
    <row r="15" spans="1:22" ht="20.100000000000001" customHeight="1" x14ac:dyDescent="0.25">
      <c r="A15" s="93"/>
      <c r="B15" s="92"/>
      <c r="C15" s="97"/>
      <c r="D15" s="170">
        <v>4</v>
      </c>
      <c r="E15" s="114" t="s">
        <v>235</v>
      </c>
      <c r="F15" s="99">
        <v>24</v>
      </c>
      <c r="G15" s="106">
        <f>ESTIMATOR!Z64</f>
        <v>0</v>
      </c>
      <c r="H15" s="106">
        <f t="shared" si="0"/>
        <v>0</v>
      </c>
      <c r="I15" s="106"/>
      <c r="J15" s="100"/>
      <c r="K15" s="92"/>
      <c r="L15" s="93"/>
      <c r="M15" s="93"/>
      <c r="N15" s="93"/>
      <c r="O15" s="93"/>
      <c r="P15" s="93"/>
      <c r="Q15" s="93"/>
      <c r="R15" s="93"/>
      <c r="S15" s="93"/>
      <c r="T15" s="93"/>
      <c r="U15" s="93"/>
      <c r="V15" s="93"/>
    </row>
    <row r="16" spans="1:22" ht="20.100000000000001" customHeight="1" x14ac:dyDescent="0.25">
      <c r="A16" s="93"/>
      <c r="B16" s="92"/>
      <c r="C16" s="97"/>
      <c r="D16" s="170">
        <v>5</v>
      </c>
      <c r="E16" s="114" t="s">
        <v>240</v>
      </c>
      <c r="F16" s="99">
        <v>26</v>
      </c>
      <c r="G16" s="106">
        <f>ESTIMATOR!Z66</f>
        <v>0</v>
      </c>
      <c r="H16" s="106">
        <f t="shared" si="0"/>
        <v>0</v>
      </c>
      <c r="I16" s="106"/>
      <c r="J16" s="100"/>
      <c r="K16" s="92"/>
      <c r="L16" s="93"/>
      <c r="M16" s="93"/>
      <c r="N16" s="93"/>
      <c r="O16" s="93"/>
      <c r="P16" s="93"/>
      <c r="Q16" s="93"/>
      <c r="R16" s="93"/>
      <c r="S16" s="93"/>
      <c r="T16" s="93"/>
      <c r="U16" s="93"/>
      <c r="V16" s="93"/>
    </row>
    <row r="17" spans="1:22" ht="20.100000000000001" customHeight="1" x14ac:dyDescent="0.25">
      <c r="A17" s="93"/>
      <c r="B17" s="92"/>
      <c r="C17" s="97"/>
      <c r="D17" s="170">
        <v>5</v>
      </c>
      <c r="E17" s="114" t="s">
        <v>236</v>
      </c>
      <c r="F17" s="99">
        <v>28</v>
      </c>
      <c r="G17" s="106">
        <f>ESTIMATOR!Z65</f>
        <v>0</v>
      </c>
      <c r="H17" s="106">
        <f t="shared" si="0"/>
        <v>0</v>
      </c>
      <c r="I17" s="106"/>
      <c r="J17" s="100"/>
      <c r="K17" s="92"/>
      <c r="L17" s="93"/>
      <c r="M17" s="93"/>
      <c r="N17" s="93"/>
      <c r="O17" s="93"/>
      <c r="P17" s="93"/>
      <c r="Q17" s="93"/>
      <c r="R17" s="93"/>
      <c r="S17" s="93"/>
      <c r="T17" s="93"/>
      <c r="U17" s="93"/>
      <c r="V17" s="93"/>
    </row>
    <row r="18" spans="1:22" ht="20.100000000000001" customHeight="1" x14ac:dyDescent="0.25">
      <c r="A18" s="93"/>
      <c r="B18" s="92"/>
      <c r="C18" s="97"/>
      <c r="D18" s="170">
        <v>6</v>
      </c>
      <c r="E18" s="114" t="s">
        <v>241</v>
      </c>
      <c r="F18" s="99">
        <v>30</v>
      </c>
      <c r="G18" s="106">
        <f>ESTIMATOR!Z68</f>
        <v>0</v>
      </c>
      <c r="H18" s="106">
        <f t="shared" si="0"/>
        <v>0</v>
      </c>
      <c r="I18" s="106"/>
      <c r="J18" s="100"/>
      <c r="K18" s="92"/>
      <c r="L18" s="93"/>
      <c r="M18" s="93"/>
      <c r="N18" s="93"/>
      <c r="O18" s="93"/>
      <c r="P18" s="93"/>
      <c r="Q18" s="93"/>
      <c r="R18" s="93"/>
      <c r="S18" s="93"/>
      <c r="T18" s="93"/>
      <c r="U18" s="93"/>
      <c r="V18" s="93"/>
    </row>
    <row r="19" spans="1:22" ht="20.100000000000001" customHeight="1" x14ac:dyDescent="0.25">
      <c r="A19" s="93"/>
      <c r="B19" s="92"/>
      <c r="C19" s="97"/>
      <c r="D19" s="170">
        <v>7</v>
      </c>
      <c r="E19" s="114" t="s">
        <v>242</v>
      </c>
      <c r="F19" s="99">
        <v>32</v>
      </c>
      <c r="G19" s="106">
        <f>ESTIMATOR!Z69</f>
        <v>0</v>
      </c>
      <c r="H19" s="106">
        <f t="shared" si="0"/>
        <v>0</v>
      </c>
      <c r="I19" s="106"/>
      <c r="J19" s="100"/>
      <c r="K19" s="92"/>
      <c r="L19" s="93"/>
      <c r="M19" s="93"/>
      <c r="N19" s="93"/>
      <c r="O19" s="93"/>
      <c r="P19" s="93"/>
      <c r="Q19" s="93"/>
      <c r="R19" s="93"/>
      <c r="S19" s="93"/>
      <c r="T19" s="93"/>
      <c r="U19" s="93"/>
      <c r="V19" s="93"/>
    </row>
    <row r="20" spans="1:22" ht="20.100000000000001" customHeight="1" x14ac:dyDescent="0.25">
      <c r="A20" s="93"/>
      <c r="B20" s="92"/>
      <c r="C20" s="97"/>
      <c r="D20" s="170">
        <v>8</v>
      </c>
      <c r="E20" s="114" t="s">
        <v>243</v>
      </c>
      <c r="F20" s="99">
        <v>34</v>
      </c>
      <c r="G20" s="106">
        <f>ESTIMATOR!Z70</f>
        <v>0</v>
      </c>
      <c r="H20" s="106">
        <f t="shared" si="0"/>
        <v>0</v>
      </c>
      <c r="I20" s="106"/>
      <c r="J20" s="100"/>
      <c r="K20" s="92"/>
      <c r="L20" s="93"/>
      <c r="M20" s="93"/>
      <c r="N20" s="93"/>
      <c r="O20" s="93"/>
      <c r="P20" s="93"/>
      <c r="Q20" s="93"/>
      <c r="R20" s="93"/>
      <c r="S20" s="93"/>
      <c r="T20" s="93"/>
      <c r="U20" s="93"/>
      <c r="V20" s="93"/>
    </row>
    <row r="21" spans="1:22" ht="20.100000000000001" customHeight="1" x14ac:dyDescent="0.25">
      <c r="A21" s="93"/>
      <c r="B21" s="92"/>
      <c r="C21" s="97"/>
      <c r="D21" s="170">
        <v>9</v>
      </c>
      <c r="E21" s="114" t="s">
        <v>266</v>
      </c>
      <c r="F21" s="99">
        <v>38</v>
      </c>
      <c r="G21" s="106">
        <f>ESTIMATOR!Z72</f>
        <v>0</v>
      </c>
      <c r="H21" s="106">
        <f t="shared" si="0"/>
        <v>0</v>
      </c>
      <c r="I21" s="106"/>
      <c r="J21" s="100"/>
      <c r="K21" s="92"/>
      <c r="L21" s="93"/>
      <c r="M21" s="93"/>
      <c r="N21" s="93"/>
      <c r="O21" s="93"/>
      <c r="P21" s="93"/>
      <c r="Q21" s="93"/>
      <c r="R21" s="93"/>
      <c r="S21" s="93"/>
      <c r="T21" s="93"/>
      <c r="U21" s="93"/>
      <c r="V21" s="93"/>
    </row>
    <row r="22" spans="1:22" ht="20.100000000000001" customHeight="1" x14ac:dyDescent="0.25">
      <c r="A22" s="93"/>
      <c r="B22" s="92"/>
      <c r="C22" s="97"/>
      <c r="D22" s="170">
        <v>9</v>
      </c>
      <c r="E22" s="114" t="s">
        <v>261</v>
      </c>
      <c r="F22" s="99">
        <v>39</v>
      </c>
      <c r="G22" s="106">
        <f>ESTIMATOR!Z73</f>
        <v>0</v>
      </c>
      <c r="H22" s="106">
        <f t="shared" si="0"/>
        <v>0</v>
      </c>
      <c r="I22" s="106"/>
      <c r="J22" s="100"/>
      <c r="K22" s="92"/>
      <c r="L22" s="93"/>
      <c r="M22" s="93"/>
      <c r="N22" s="93"/>
      <c r="O22" s="93"/>
      <c r="P22" s="93"/>
      <c r="Q22" s="93"/>
      <c r="R22" s="93"/>
      <c r="S22" s="93"/>
      <c r="T22" s="93"/>
      <c r="U22" s="93"/>
      <c r="V22" s="93"/>
    </row>
    <row r="23" spans="1:22" ht="20.100000000000001" customHeight="1" x14ac:dyDescent="0.25">
      <c r="A23" s="93"/>
      <c r="B23" s="92"/>
      <c r="C23" s="97"/>
      <c r="D23" s="170">
        <v>9</v>
      </c>
      <c r="E23" s="114" t="s">
        <v>262</v>
      </c>
      <c r="F23" s="99">
        <v>40</v>
      </c>
      <c r="G23" s="106">
        <f>ESTIMATOR!Z74</f>
        <v>0</v>
      </c>
      <c r="H23" s="106">
        <f t="shared" si="0"/>
        <v>0</v>
      </c>
      <c r="I23" s="106"/>
      <c r="J23" s="100"/>
      <c r="K23" s="92"/>
      <c r="L23" s="93"/>
      <c r="M23" s="93"/>
      <c r="N23" s="93"/>
      <c r="O23" s="93"/>
      <c r="P23" s="93"/>
      <c r="Q23" s="93"/>
      <c r="R23" s="93"/>
      <c r="S23" s="93"/>
      <c r="T23" s="93"/>
      <c r="U23" s="93"/>
      <c r="V23" s="93"/>
    </row>
    <row r="24" spans="1:22" ht="20.100000000000001" customHeight="1" x14ac:dyDescent="0.25">
      <c r="A24" s="93"/>
      <c r="B24" s="92"/>
      <c r="C24" s="97"/>
      <c r="D24" s="170">
        <v>9</v>
      </c>
      <c r="E24" s="114" t="s">
        <v>263</v>
      </c>
      <c r="F24" s="99">
        <v>41</v>
      </c>
      <c r="G24" s="106">
        <f>ESTIMATOR!Z75</f>
        <v>0</v>
      </c>
      <c r="H24" s="106">
        <f t="shared" si="0"/>
        <v>0</v>
      </c>
      <c r="I24" s="106"/>
      <c r="J24" s="100"/>
      <c r="K24" s="92"/>
      <c r="L24" s="93"/>
      <c r="M24" s="93"/>
      <c r="N24" s="93"/>
      <c r="O24" s="93"/>
      <c r="P24" s="93"/>
      <c r="Q24" s="93"/>
      <c r="R24" s="93"/>
      <c r="S24" s="93"/>
      <c r="T24" s="93"/>
      <c r="U24" s="93"/>
      <c r="V24" s="93"/>
    </row>
    <row r="25" spans="1:22" ht="20.100000000000001" customHeight="1" x14ac:dyDescent="0.25">
      <c r="A25" s="93"/>
      <c r="B25" s="92"/>
      <c r="C25" s="97"/>
      <c r="D25" s="170">
        <v>9</v>
      </c>
      <c r="E25" s="114" t="s">
        <v>264</v>
      </c>
      <c r="F25" s="99">
        <v>42</v>
      </c>
      <c r="G25" s="106">
        <f>ESTIMATOR!Z76</f>
        <v>0</v>
      </c>
      <c r="H25" s="106">
        <f t="shared" si="0"/>
        <v>0</v>
      </c>
      <c r="I25" s="106"/>
      <c r="J25" s="100"/>
      <c r="K25" s="92"/>
      <c r="L25" s="93"/>
      <c r="M25" s="93"/>
      <c r="N25" s="93"/>
      <c r="O25" s="93"/>
      <c r="P25" s="93"/>
      <c r="Q25" s="93"/>
      <c r="R25" s="93"/>
      <c r="S25" s="93"/>
      <c r="T25" s="93"/>
      <c r="U25" s="93"/>
      <c r="V25" s="93"/>
    </row>
    <row r="26" spans="1:22" ht="20.100000000000001" customHeight="1" x14ac:dyDescent="0.25">
      <c r="A26" s="93"/>
      <c r="B26" s="92"/>
      <c r="C26" s="97"/>
      <c r="D26" s="170">
        <v>9</v>
      </c>
      <c r="E26" s="114" t="s">
        <v>265</v>
      </c>
      <c r="F26" s="99">
        <v>43</v>
      </c>
      <c r="G26" s="106">
        <f>ESTIMATOR!Z77</f>
        <v>0</v>
      </c>
      <c r="H26" s="106">
        <f t="shared" si="0"/>
        <v>0</v>
      </c>
      <c r="I26" s="106"/>
      <c r="J26" s="100"/>
      <c r="K26" s="92"/>
      <c r="L26" s="93"/>
      <c r="M26" s="93"/>
      <c r="N26" s="93"/>
      <c r="O26" s="93"/>
      <c r="P26" s="93"/>
      <c r="Q26" s="93"/>
      <c r="R26" s="93"/>
      <c r="S26" s="93"/>
      <c r="T26" s="93"/>
      <c r="U26" s="93"/>
      <c r="V26" s="93"/>
    </row>
    <row r="27" spans="1:22" ht="20.100000000000001" customHeight="1" x14ac:dyDescent="0.25">
      <c r="A27" s="93"/>
      <c r="B27" s="92"/>
      <c r="C27" s="97"/>
      <c r="D27" s="170">
        <v>1</v>
      </c>
      <c r="E27" s="114" t="s">
        <v>24</v>
      </c>
      <c r="F27" s="99">
        <v>78</v>
      </c>
      <c r="G27" s="106">
        <f>ESTIMATOR!Z34</f>
        <v>0</v>
      </c>
      <c r="H27" s="106">
        <f t="shared" si="0"/>
        <v>0</v>
      </c>
      <c r="I27" s="106"/>
      <c r="J27" s="100"/>
      <c r="K27" s="92"/>
      <c r="L27" s="93"/>
      <c r="M27" s="93"/>
      <c r="N27" s="93"/>
      <c r="O27" s="93"/>
      <c r="P27" s="93"/>
      <c r="Q27" s="93"/>
      <c r="R27" s="93"/>
      <c r="S27" s="93"/>
      <c r="T27" s="93"/>
      <c r="U27" s="93"/>
      <c r="V27" s="93"/>
    </row>
    <row r="28" spans="1:22" ht="20.100000000000001" customHeight="1" x14ac:dyDescent="0.25">
      <c r="A28" s="93"/>
      <c r="B28" s="92"/>
      <c r="C28" s="97"/>
      <c r="D28" s="170">
        <v>2</v>
      </c>
      <c r="E28" s="114" t="s">
        <v>193</v>
      </c>
      <c r="F28" s="99">
        <v>145</v>
      </c>
      <c r="G28" s="106">
        <f>ESTIMATOR!Z78</f>
        <v>0</v>
      </c>
      <c r="H28" s="106">
        <f t="shared" si="0"/>
        <v>0</v>
      </c>
      <c r="I28" s="106"/>
      <c r="J28" s="100"/>
      <c r="K28" s="92"/>
      <c r="L28" s="93"/>
      <c r="M28" s="93"/>
      <c r="N28" s="93"/>
      <c r="O28" s="93"/>
      <c r="P28" s="93"/>
      <c r="Q28" s="93"/>
      <c r="R28" s="93"/>
      <c r="S28" s="93"/>
      <c r="T28" s="93"/>
      <c r="U28" s="93"/>
      <c r="V28" s="93"/>
    </row>
    <row r="29" spans="1:22" ht="20.100000000000001" customHeight="1" x14ac:dyDescent="0.25">
      <c r="A29" s="93"/>
      <c r="B29" s="92"/>
      <c r="C29" s="97"/>
      <c r="D29" s="170">
        <v>2</v>
      </c>
      <c r="E29" s="114" t="s">
        <v>140</v>
      </c>
      <c r="F29" s="170">
        <v>157</v>
      </c>
      <c r="G29" s="106">
        <f>ESTIMATOR!Z37</f>
        <v>0</v>
      </c>
      <c r="H29" s="106">
        <f t="shared" si="0"/>
        <v>0</v>
      </c>
      <c r="I29" s="106"/>
      <c r="J29" s="100"/>
      <c r="K29" s="92"/>
      <c r="L29" s="93"/>
      <c r="M29" s="93"/>
      <c r="N29" s="93"/>
      <c r="O29" s="93"/>
      <c r="P29" s="93"/>
      <c r="Q29" s="93"/>
      <c r="R29" s="93"/>
      <c r="S29" s="93"/>
      <c r="T29" s="93"/>
      <c r="U29" s="93"/>
      <c r="V29" s="93"/>
    </row>
    <row r="30" spans="1:22" ht="20.100000000000001" customHeight="1" x14ac:dyDescent="0.25">
      <c r="A30" s="93"/>
      <c r="B30" s="92"/>
      <c r="C30" s="97"/>
      <c r="D30" s="170">
        <v>2</v>
      </c>
      <c r="E30" s="114" t="s">
        <v>305</v>
      </c>
      <c r="F30" s="99">
        <v>171</v>
      </c>
      <c r="G30" s="106">
        <f>ESTIMATOR!Z40</f>
        <v>0</v>
      </c>
      <c r="H30" s="106">
        <f t="shared" si="0"/>
        <v>0</v>
      </c>
      <c r="I30" s="106"/>
      <c r="J30" s="100"/>
      <c r="K30" s="92"/>
      <c r="L30" s="93"/>
      <c r="M30" s="93"/>
      <c r="N30" s="93"/>
      <c r="O30" s="93"/>
      <c r="P30" s="93"/>
      <c r="Q30" s="93"/>
      <c r="R30" s="93"/>
      <c r="S30" s="93"/>
      <c r="T30" s="93"/>
      <c r="U30" s="93"/>
      <c r="V30" s="93"/>
    </row>
    <row r="31" spans="1:22" ht="20.100000000000001" customHeight="1" x14ac:dyDescent="0.25">
      <c r="A31" s="93"/>
      <c r="B31" s="92"/>
      <c r="C31" s="97"/>
      <c r="D31" s="170">
        <v>2</v>
      </c>
      <c r="E31" s="114" t="s">
        <v>142</v>
      </c>
      <c r="F31" s="99">
        <v>173</v>
      </c>
      <c r="G31" s="106">
        <f>ESTIMATOR!Z39</f>
        <v>0</v>
      </c>
      <c r="H31" s="106">
        <f t="shared" si="0"/>
        <v>0</v>
      </c>
      <c r="I31" s="106"/>
      <c r="J31" s="100"/>
      <c r="K31" s="92"/>
      <c r="L31" s="93"/>
      <c r="M31" s="93"/>
      <c r="N31" s="93"/>
      <c r="O31" s="93"/>
      <c r="P31" s="93"/>
      <c r="Q31" s="93"/>
      <c r="R31" s="93"/>
      <c r="S31" s="93"/>
      <c r="T31" s="93"/>
      <c r="U31" s="93"/>
      <c r="V31" s="93"/>
    </row>
    <row r="32" spans="1:22" ht="20.100000000000001" customHeight="1" x14ac:dyDescent="0.25">
      <c r="A32" s="93"/>
      <c r="B32" s="92"/>
      <c r="C32" s="97"/>
      <c r="D32" s="170">
        <v>2</v>
      </c>
      <c r="E32" s="114" t="s">
        <v>162</v>
      </c>
      <c r="F32" s="99">
        <v>175</v>
      </c>
      <c r="G32" s="106">
        <f>ESTIMATOR!Z41</f>
        <v>0</v>
      </c>
      <c r="H32" s="106">
        <f t="shared" si="0"/>
        <v>0</v>
      </c>
      <c r="I32" s="106"/>
      <c r="J32" s="100"/>
      <c r="K32" s="92"/>
      <c r="L32" s="93"/>
      <c r="M32" s="93"/>
      <c r="N32" s="93"/>
      <c r="O32" s="93"/>
      <c r="P32" s="93"/>
      <c r="Q32" s="93"/>
      <c r="R32" s="93"/>
      <c r="S32" s="93"/>
      <c r="T32" s="93"/>
      <c r="U32" s="93"/>
      <c r="V32" s="93"/>
    </row>
    <row r="33" spans="1:22" ht="20.100000000000001" customHeight="1" x14ac:dyDescent="0.25">
      <c r="A33" s="93"/>
      <c r="B33" s="92"/>
      <c r="C33" s="97"/>
      <c r="D33" s="170">
        <v>2</v>
      </c>
      <c r="E33" s="114" t="s">
        <v>163</v>
      </c>
      <c r="F33" s="99">
        <v>176</v>
      </c>
      <c r="G33" s="106">
        <f>ESTIMATOR!Z80</f>
        <v>0</v>
      </c>
      <c r="H33" s="106">
        <f t="shared" si="0"/>
        <v>0</v>
      </c>
      <c r="I33" s="106"/>
      <c r="J33" s="100"/>
      <c r="K33" s="92"/>
      <c r="L33" s="93"/>
      <c r="M33" s="93"/>
      <c r="N33" s="93"/>
      <c r="O33" s="93"/>
      <c r="P33" s="93"/>
      <c r="Q33" s="93"/>
      <c r="R33" s="93"/>
      <c r="S33" s="93"/>
      <c r="T33" s="93"/>
      <c r="U33" s="93"/>
      <c r="V33" s="93"/>
    </row>
    <row r="34" spans="1:22" ht="20.100000000000001" customHeight="1" x14ac:dyDescent="0.25">
      <c r="A34" s="93"/>
      <c r="B34" s="92"/>
      <c r="C34" s="97"/>
      <c r="D34" s="170">
        <v>2</v>
      </c>
      <c r="E34" s="114" t="s">
        <v>145</v>
      </c>
      <c r="F34" s="99">
        <v>177</v>
      </c>
      <c r="G34" s="106">
        <f>ESTIMATOR!Z81</f>
        <v>0</v>
      </c>
      <c r="H34" s="106">
        <f t="shared" si="0"/>
        <v>0</v>
      </c>
      <c r="I34" s="106"/>
      <c r="J34" s="100"/>
      <c r="K34" s="92"/>
      <c r="L34" s="93"/>
      <c r="M34" s="93"/>
      <c r="N34" s="93"/>
      <c r="O34" s="93"/>
      <c r="P34" s="93"/>
      <c r="Q34" s="93"/>
      <c r="R34" s="93"/>
      <c r="S34" s="93"/>
      <c r="T34" s="93"/>
      <c r="U34" s="93"/>
      <c r="V34" s="93"/>
    </row>
    <row r="35" spans="1:22" ht="20.100000000000001" customHeight="1" x14ac:dyDescent="0.25">
      <c r="A35" s="93"/>
      <c r="B35" s="92"/>
      <c r="C35" s="97"/>
      <c r="D35" s="170">
        <v>2</v>
      </c>
      <c r="E35" s="114" t="s">
        <v>139</v>
      </c>
      <c r="F35" s="99">
        <v>178</v>
      </c>
      <c r="G35" s="106">
        <f>ESTIMATOR!Z36</f>
        <v>0</v>
      </c>
      <c r="H35" s="106">
        <f t="shared" si="0"/>
        <v>0</v>
      </c>
      <c r="I35" s="106"/>
      <c r="J35" s="100"/>
      <c r="K35" s="92"/>
      <c r="L35" s="93"/>
      <c r="M35" s="93"/>
      <c r="N35" s="93"/>
      <c r="O35" s="93"/>
      <c r="P35" s="93"/>
      <c r="Q35" s="93"/>
      <c r="R35" s="93"/>
      <c r="S35" s="93"/>
      <c r="T35" s="93"/>
      <c r="U35" s="93"/>
      <c r="V35" s="93"/>
    </row>
    <row r="36" spans="1:22" ht="20.100000000000001" customHeight="1" x14ac:dyDescent="0.25">
      <c r="A36" s="93"/>
      <c r="B36" s="92"/>
      <c r="C36" s="97"/>
      <c r="D36" s="170">
        <v>2</v>
      </c>
      <c r="E36" s="114" t="s">
        <v>143</v>
      </c>
      <c r="F36" s="99">
        <v>204</v>
      </c>
      <c r="G36" s="106">
        <f>ESTIMATOR!Z79</f>
        <v>0</v>
      </c>
      <c r="H36" s="106">
        <f t="shared" si="0"/>
        <v>0</v>
      </c>
      <c r="I36" s="106"/>
      <c r="J36" s="100"/>
      <c r="K36" s="92"/>
      <c r="L36" s="93"/>
      <c r="M36" s="93"/>
      <c r="N36" s="93"/>
      <c r="O36" s="93"/>
      <c r="P36" s="93"/>
      <c r="Q36" s="93"/>
      <c r="R36" s="93"/>
      <c r="S36" s="93"/>
      <c r="T36" s="93"/>
      <c r="U36" s="93"/>
      <c r="V36" s="93"/>
    </row>
    <row r="37" spans="1:22" ht="20.100000000000001" customHeight="1" x14ac:dyDescent="0.25">
      <c r="A37" s="93"/>
      <c r="B37" s="92"/>
      <c r="C37" s="97"/>
      <c r="D37" s="170">
        <v>3</v>
      </c>
      <c r="E37" s="114" t="s">
        <v>138</v>
      </c>
      <c r="F37" s="99">
        <v>211</v>
      </c>
      <c r="G37" s="106">
        <f>ESTIMATOR!Z35</f>
        <v>0</v>
      </c>
      <c r="H37" s="106">
        <f t="shared" si="0"/>
        <v>0</v>
      </c>
      <c r="I37" s="106"/>
      <c r="J37" s="100"/>
      <c r="K37" s="92"/>
      <c r="L37" s="93"/>
      <c r="M37" s="93"/>
      <c r="N37" s="93"/>
      <c r="O37" s="93"/>
      <c r="P37" s="93"/>
      <c r="Q37" s="93"/>
      <c r="R37" s="93"/>
      <c r="S37" s="93"/>
      <c r="T37" s="93"/>
      <c r="U37" s="93"/>
      <c r="V37" s="93"/>
    </row>
    <row r="38" spans="1:22" ht="20.100000000000001" customHeight="1" x14ac:dyDescent="0.25">
      <c r="A38" s="93"/>
      <c r="B38" s="92"/>
      <c r="C38" s="97"/>
      <c r="D38" s="170">
        <v>4</v>
      </c>
      <c r="E38" s="114" t="s">
        <v>141</v>
      </c>
      <c r="F38" s="99">
        <v>225</v>
      </c>
      <c r="G38" s="106">
        <f>ESTIMATOR!Z38</f>
        <v>0</v>
      </c>
      <c r="H38" s="106">
        <f t="shared" si="0"/>
        <v>0</v>
      </c>
      <c r="I38" s="106"/>
      <c r="J38" s="100"/>
      <c r="K38" s="92"/>
      <c r="L38" s="93"/>
      <c r="M38" s="93"/>
      <c r="N38" s="93"/>
      <c r="O38" s="93"/>
      <c r="P38" s="93"/>
      <c r="Q38" s="93"/>
      <c r="R38" s="93"/>
      <c r="S38" s="93"/>
      <c r="T38" s="93"/>
      <c r="U38" s="93"/>
      <c r="V38" s="93"/>
    </row>
    <row r="39" spans="1:22" ht="20.100000000000001" customHeight="1" x14ac:dyDescent="0.25">
      <c r="A39" s="93"/>
      <c r="B39" s="92"/>
      <c r="C39" s="97"/>
      <c r="D39" s="170">
        <v>9</v>
      </c>
      <c r="E39" s="114" t="s">
        <v>146</v>
      </c>
      <c r="F39" s="99">
        <v>230</v>
      </c>
      <c r="G39" s="106">
        <f>ESTIMATOR!Z83</f>
        <v>0</v>
      </c>
      <c r="H39" s="106">
        <f t="shared" si="0"/>
        <v>0</v>
      </c>
      <c r="I39" s="106"/>
      <c r="J39" s="100"/>
      <c r="K39" s="92"/>
      <c r="L39" s="93"/>
      <c r="M39" s="93"/>
      <c r="N39" s="93"/>
      <c r="O39" s="93"/>
      <c r="P39" s="93"/>
      <c r="Q39" s="93"/>
      <c r="R39" s="93"/>
      <c r="S39" s="93"/>
      <c r="T39" s="93"/>
      <c r="U39" s="93"/>
      <c r="V39" s="93"/>
    </row>
    <row r="40" spans="1:22" ht="20.100000000000001" customHeight="1" x14ac:dyDescent="0.25">
      <c r="A40" s="93"/>
      <c r="B40" s="92"/>
      <c r="C40" s="97"/>
      <c r="D40" s="170">
        <v>9</v>
      </c>
      <c r="E40" s="114" t="s">
        <v>147</v>
      </c>
      <c r="F40" s="99">
        <v>233</v>
      </c>
      <c r="G40" s="106">
        <f>ESTIMATOR!Z84</f>
        <v>0</v>
      </c>
      <c r="H40" s="106">
        <f t="shared" si="0"/>
        <v>0</v>
      </c>
      <c r="I40" s="106"/>
      <c r="J40" s="100"/>
      <c r="K40" s="92"/>
      <c r="L40" s="93"/>
      <c r="M40" s="93"/>
      <c r="N40" s="93"/>
      <c r="O40" s="93"/>
      <c r="P40" s="93"/>
      <c r="Q40" s="93"/>
      <c r="R40" s="93"/>
      <c r="S40" s="93"/>
      <c r="T40" s="93"/>
      <c r="U40" s="93"/>
      <c r="V40" s="93"/>
    </row>
    <row r="41" spans="1:22" ht="20.100000000000001" customHeight="1" x14ac:dyDescent="0.25">
      <c r="A41" s="93"/>
      <c r="B41" s="92"/>
      <c r="C41" s="97"/>
      <c r="D41" s="170">
        <v>9</v>
      </c>
      <c r="E41" s="114" t="s">
        <v>308</v>
      </c>
      <c r="F41" s="99">
        <v>262</v>
      </c>
      <c r="G41" s="106">
        <f>ESTIMATOR!Z45</f>
        <v>0</v>
      </c>
      <c r="H41" s="106">
        <f t="shared" si="0"/>
        <v>0</v>
      </c>
      <c r="I41" s="106"/>
      <c r="J41" s="100"/>
      <c r="K41" s="92"/>
      <c r="L41" s="93"/>
      <c r="M41" s="93"/>
      <c r="N41" s="93"/>
      <c r="O41" s="93"/>
      <c r="P41" s="93"/>
      <c r="Q41" s="93"/>
      <c r="R41" s="93"/>
      <c r="S41" s="93"/>
      <c r="T41" s="93"/>
      <c r="U41" s="93"/>
      <c r="V41" s="93"/>
    </row>
    <row r="42" spans="1:22" ht="20.100000000000001" customHeight="1" x14ac:dyDescent="0.25">
      <c r="A42" s="93"/>
      <c r="B42" s="92"/>
      <c r="C42" s="97"/>
      <c r="D42" s="170">
        <v>9</v>
      </c>
      <c r="E42" s="114" t="s">
        <v>144</v>
      </c>
      <c r="F42" s="99">
        <v>271</v>
      </c>
      <c r="G42" s="106">
        <f>ESTIMATOR!Z44</f>
        <v>0</v>
      </c>
      <c r="H42" s="106">
        <f t="shared" si="0"/>
        <v>0</v>
      </c>
      <c r="I42" s="106"/>
      <c r="J42" s="100"/>
      <c r="K42" s="92"/>
      <c r="L42" s="93"/>
      <c r="M42" s="93"/>
      <c r="N42" s="93"/>
      <c r="O42" s="93"/>
      <c r="P42" s="93"/>
      <c r="Q42" s="93"/>
      <c r="R42" s="93"/>
      <c r="S42" s="93"/>
      <c r="T42" s="93"/>
      <c r="U42" s="93"/>
      <c r="V42" s="93"/>
    </row>
    <row r="43" spans="1:22" ht="20.100000000000001" customHeight="1" x14ac:dyDescent="0.25">
      <c r="A43" s="93"/>
      <c r="B43" s="92"/>
      <c r="C43" s="97"/>
      <c r="D43" s="170">
        <v>9</v>
      </c>
      <c r="E43" s="114" t="s">
        <v>307</v>
      </c>
      <c r="F43" s="99">
        <v>272</v>
      </c>
      <c r="G43" s="106">
        <f>ESTIMATOR!Z45</f>
        <v>0</v>
      </c>
      <c r="H43" s="106">
        <f t="shared" si="0"/>
        <v>0</v>
      </c>
      <c r="I43" s="106"/>
      <c r="J43" s="100"/>
      <c r="K43" s="92"/>
      <c r="L43" s="93"/>
      <c r="M43" s="93"/>
      <c r="N43" s="93"/>
      <c r="O43" s="93"/>
      <c r="P43" s="93"/>
      <c r="Q43" s="93"/>
      <c r="R43" s="93"/>
      <c r="S43" s="93"/>
      <c r="T43" s="93"/>
      <c r="U43" s="93"/>
      <c r="V43" s="93"/>
    </row>
    <row r="44" spans="1:22" ht="20.100000000000001" customHeight="1" x14ac:dyDescent="0.25">
      <c r="A44" s="93"/>
      <c r="B44" s="92"/>
      <c r="C44" s="97"/>
      <c r="D44" s="170">
        <v>9</v>
      </c>
      <c r="E44" s="114" t="s">
        <v>179</v>
      </c>
      <c r="F44" s="99">
        <v>277</v>
      </c>
      <c r="G44" s="106">
        <f>ESTIMATOR!Z42</f>
        <v>0</v>
      </c>
      <c r="H44" s="106">
        <f t="shared" si="0"/>
        <v>0</v>
      </c>
      <c r="I44" s="106"/>
      <c r="J44" s="100"/>
      <c r="K44" s="92"/>
      <c r="L44" s="93"/>
      <c r="M44" s="93"/>
      <c r="N44" s="93"/>
      <c r="O44" s="93"/>
      <c r="P44" s="93"/>
      <c r="Q44" s="93"/>
      <c r="R44" s="93"/>
      <c r="S44" s="93"/>
      <c r="T44" s="93"/>
      <c r="U44" s="93"/>
      <c r="V44" s="93"/>
    </row>
    <row r="45" spans="1:22" ht="20.100000000000001" customHeight="1" x14ac:dyDescent="0.25">
      <c r="A45" s="93"/>
      <c r="B45" s="92"/>
      <c r="C45" s="97"/>
      <c r="D45" s="170">
        <v>8</v>
      </c>
      <c r="E45" s="114" t="s">
        <v>297</v>
      </c>
      <c r="F45" s="99">
        <v>278</v>
      </c>
      <c r="G45" s="106">
        <f>ESTIMATOR!Z82</f>
        <v>0</v>
      </c>
      <c r="H45" s="106">
        <f t="shared" si="0"/>
        <v>0</v>
      </c>
      <c r="I45" s="106"/>
      <c r="J45" s="100"/>
      <c r="K45" s="92"/>
      <c r="L45" s="93"/>
      <c r="M45" s="93"/>
      <c r="N45" s="93"/>
      <c r="O45" s="93"/>
      <c r="P45" s="93"/>
      <c r="Q45" s="93"/>
      <c r="R45" s="93"/>
      <c r="S45" s="93"/>
      <c r="T45" s="93"/>
      <c r="U45" s="93"/>
      <c r="V45" s="93"/>
    </row>
    <row r="46" spans="1:22" ht="20.100000000000001" customHeight="1" x14ac:dyDescent="0.25">
      <c r="A46" s="93"/>
      <c r="B46" s="92"/>
      <c r="C46" s="97"/>
      <c r="D46" s="249">
        <v>8</v>
      </c>
      <c r="E46" s="99" t="s">
        <v>309</v>
      </c>
      <c r="F46" s="258">
        <v>280</v>
      </c>
      <c r="G46" s="106">
        <f>ESTIMATOR!Z43</f>
        <v>0</v>
      </c>
      <c r="H46" s="106">
        <f t="shared" si="0"/>
        <v>0</v>
      </c>
      <c r="I46" s="263" t="s">
        <v>252</v>
      </c>
      <c r="J46" s="100"/>
      <c r="K46" s="92"/>
      <c r="L46" s="93"/>
      <c r="M46" s="93"/>
      <c r="N46" s="93"/>
      <c r="O46" s="93"/>
      <c r="P46" s="93"/>
      <c r="Q46" s="93"/>
      <c r="R46" s="93"/>
      <c r="S46" s="93"/>
      <c r="T46" s="93"/>
      <c r="U46" s="93"/>
      <c r="V46" s="93"/>
    </row>
    <row r="47" spans="1:22" ht="20.100000000000001" customHeight="1" thickBot="1" x14ac:dyDescent="0.3">
      <c r="A47" s="93"/>
      <c r="B47" s="92"/>
      <c r="C47" s="97"/>
      <c r="D47" s="99"/>
      <c r="E47" s="99"/>
      <c r="F47" s="99"/>
      <c r="G47" s="106"/>
      <c r="H47" s="250">
        <f>H46</f>
        <v>0</v>
      </c>
      <c r="I47" s="106" t="s">
        <v>310</v>
      </c>
      <c r="J47" s="100"/>
      <c r="K47" s="92"/>
      <c r="L47" s="93"/>
      <c r="M47" s="93"/>
      <c r="N47" s="93"/>
      <c r="O47" s="93"/>
      <c r="P47" s="93"/>
      <c r="Q47" s="93"/>
      <c r="R47" s="93"/>
      <c r="S47" s="93"/>
      <c r="T47" s="93"/>
      <c r="U47" s="93"/>
      <c r="V47" s="93"/>
    </row>
    <row r="48" spans="1:22" ht="16.5" thickTop="1" thickBot="1" x14ac:dyDescent="0.3">
      <c r="A48" s="93"/>
      <c r="B48" s="92"/>
      <c r="C48" s="103"/>
      <c r="D48" s="104"/>
      <c r="E48" s="104"/>
      <c r="F48" s="104"/>
      <c r="G48" s="104"/>
      <c r="H48" s="104"/>
      <c r="I48" s="104"/>
      <c r="J48" s="105"/>
      <c r="K48" s="92"/>
      <c r="L48" s="93"/>
      <c r="M48" s="93"/>
      <c r="N48" s="93"/>
      <c r="O48" s="93"/>
      <c r="P48" s="93"/>
      <c r="Q48" s="93"/>
      <c r="R48" s="93"/>
      <c r="S48" s="93"/>
      <c r="T48" s="93"/>
      <c r="U48" s="93"/>
      <c r="V48" s="93"/>
    </row>
    <row r="49" spans="1:22" ht="5.0999999999999996" customHeight="1" x14ac:dyDescent="0.25">
      <c r="A49" s="93"/>
      <c r="B49" s="92"/>
      <c r="C49" s="92"/>
      <c r="D49" s="92"/>
      <c r="E49" s="92"/>
      <c r="F49" s="92"/>
      <c r="G49" s="92"/>
      <c r="H49" s="92"/>
      <c r="I49" s="92"/>
      <c r="J49" s="92"/>
      <c r="K49" s="92"/>
      <c r="L49" s="93"/>
      <c r="M49" s="93"/>
      <c r="N49" s="93"/>
      <c r="O49" s="93"/>
      <c r="P49" s="93"/>
      <c r="Q49" s="93"/>
      <c r="R49" s="93"/>
      <c r="S49" s="93"/>
      <c r="T49" s="93"/>
      <c r="U49" s="93"/>
      <c r="V49" s="93"/>
    </row>
    <row r="50" spans="1:22" x14ac:dyDescent="0.25">
      <c r="A50" s="93"/>
      <c r="B50" s="93"/>
      <c r="C50" s="93"/>
      <c r="D50" s="93"/>
      <c r="E50" s="93"/>
      <c r="F50" s="93"/>
      <c r="G50" s="93"/>
      <c r="H50" s="93"/>
      <c r="I50" s="93"/>
      <c r="J50" s="93"/>
      <c r="K50" s="93"/>
      <c r="L50" s="93"/>
      <c r="M50" s="93"/>
      <c r="N50" s="93"/>
      <c r="O50" s="93"/>
      <c r="P50" s="93"/>
      <c r="Q50" s="93"/>
      <c r="R50" s="93"/>
      <c r="S50" s="93"/>
      <c r="T50" s="93"/>
      <c r="U50" s="93"/>
      <c r="V50" s="93"/>
    </row>
    <row r="51" spans="1:22" x14ac:dyDescent="0.25">
      <c r="A51" s="93"/>
      <c r="B51" s="93"/>
      <c r="C51" s="93"/>
      <c r="D51" s="93"/>
      <c r="E51" s="93"/>
      <c r="F51" s="93"/>
      <c r="G51" s="93"/>
      <c r="H51" s="93"/>
      <c r="I51" s="93"/>
      <c r="J51" s="93"/>
      <c r="K51" s="93"/>
      <c r="L51" s="93"/>
      <c r="M51" s="93"/>
      <c r="N51" s="93"/>
      <c r="O51" s="93"/>
      <c r="P51" s="93"/>
      <c r="Q51" s="93"/>
      <c r="R51" s="93"/>
      <c r="S51" s="93"/>
      <c r="T51" s="93"/>
      <c r="U51" s="93"/>
      <c r="V51" s="93"/>
    </row>
    <row r="52" spans="1:22" x14ac:dyDescent="0.25">
      <c r="A52" s="93"/>
      <c r="B52" s="93"/>
      <c r="C52" s="93"/>
      <c r="D52" s="93"/>
      <c r="E52" s="93"/>
      <c r="F52" s="93"/>
      <c r="G52" s="93"/>
      <c r="H52" s="93"/>
      <c r="I52" s="93"/>
      <c r="J52" s="93"/>
      <c r="K52" s="93"/>
      <c r="L52" s="93"/>
      <c r="M52" s="93"/>
      <c r="N52" s="93"/>
      <c r="O52" s="93"/>
      <c r="P52" s="93"/>
      <c r="Q52" s="93"/>
      <c r="R52" s="93"/>
      <c r="S52" s="93"/>
      <c r="T52" s="93"/>
      <c r="U52" s="93"/>
      <c r="V52" s="93"/>
    </row>
    <row r="53" spans="1:22" x14ac:dyDescent="0.25">
      <c r="A53" s="93"/>
      <c r="B53" s="93"/>
      <c r="C53" s="93"/>
      <c r="D53" s="93"/>
      <c r="E53" s="93"/>
      <c r="F53" s="93"/>
      <c r="G53" s="93"/>
      <c r="H53" s="93"/>
      <c r="I53" s="93"/>
      <c r="J53" s="93"/>
      <c r="K53" s="93"/>
      <c r="L53" s="93"/>
      <c r="M53" s="93"/>
      <c r="N53" s="93"/>
      <c r="O53" s="93"/>
      <c r="P53" s="93"/>
      <c r="Q53" s="93"/>
      <c r="R53" s="93"/>
      <c r="S53" s="93"/>
      <c r="T53" s="93"/>
      <c r="U53" s="93"/>
      <c r="V53" s="93"/>
    </row>
    <row r="54" spans="1:22" x14ac:dyDescent="0.25">
      <c r="A54" s="93"/>
      <c r="B54" s="93"/>
      <c r="C54" s="93"/>
      <c r="D54" s="93"/>
      <c r="E54" s="93"/>
      <c r="F54" s="93"/>
      <c r="G54" s="93"/>
      <c r="H54" s="93"/>
      <c r="I54" s="93"/>
      <c r="J54" s="93"/>
      <c r="K54" s="93"/>
      <c r="L54" s="93"/>
      <c r="M54" s="93"/>
      <c r="N54" s="93"/>
      <c r="O54" s="93"/>
      <c r="P54" s="93"/>
      <c r="Q54" s="93"/>
      <c r="R54" s="93"/>
      <c r="S54" s="93"/>
      <c r="T54" s="93"/>
      <c r="U54" s="93"/>
      <c r="V54" s="93"/>
    </row>
    <row r="55" spans="1:22" x14ac:dyDescent="0.25">
      <c r="A55" s="93"/>
      <c r="B55" s="93"/>
      <c r="C55" s="93"/>
      <c r="D55" s="93"/>
      <c r="E55" s="93"/>
      <c r="F55" s="93"/>
      <c r="G55" s="93"/>
      <c r="H55" s="93"/>
      <c r="I55" s="93"/>
      <c r="J55" s="93"/>
      <c r="K55" s="93"/>
      <c r="L55" s="93"/>
      <c r="M55" s="93"/>
      <c r="N55" s="93"/>
      <c r="O55" s="93"/>
      <c r="P55" s="93"/>
      <c r="Q55" s="93"/>
      <c r="R55" s="93"/>
      <c r="S55" s="93"/>
      <c r="T55" s="93"/>
      <c r="U55" s="93"/>
      <c r="V55" s="93"/>
    </row>
    <row r="56" spans="1:22" x14ac:dyDescent="0.25">
      <c r="A56" s="93"/>
      <c r="B56" s="93"/>
      <c r="C56" s="93"/>
      <c r="D56" s="93"/>
      <c r="E56" s="93"/>
      <c r="F56" s="93"/>
      <c r="G56" s="93"/>
      <c r="H56" s="93"/>
      <c r="I56" s="93"/>
      <c r="J56" s="93"/>
      <c r="K56" s="93"/>
      <c r="L56" s="93"/>
      <c r="M56" s="93"/>
      <c r="N56" s="93"/>
      <c r="O56" s="93"/>
      <c r="P56" s="93"/>
      <c r="Q56" s="93"/>
      <c r="R56" s="93"/>
      <c r="S56" s="93"/>
      <c r="T56" s="93"/>
      <c r="U56" s="93"/>
      <c r="V56" s="93"/>
    </row>
    <row r="57" spans="1:22" x14ac:dyDescent="0.25">
      <c r="A57" s="93"/>
      <c r="B57" s="93"/>
      <c r="C57" s="93"/>
      <c r="D57" s="93"/>
      <c r="E57" s="93"/>
      <c r="F57" s="93"/>
      <c r="G57" s="93"/>
      <c r="H57" s="93"/>
      <c r="I57" s="93"/>
      <c r="J57" s="93"/>
      <c r="K57" s="93"/>
      <c r="L57" s="93"/>
      <c r="M57" s="93"/>
      <c r="N57" s="93"/>
      <c r="O57" s="93"/>
      <c r="P57" s="93"/>
      <c r="Q57" s="93"/>
      <c r="R57" s="93"/>
      <c r="S57" s="93"/>
      <c r="T57" s="93"/>
      <c r="U57" s="93"/>
      <c r="V57" s="93"/>
    </row>
    <row r="58" spans="1:22" x14ac:dyDescent="0.25">
      <c r="A58" s="93"/>
      <c r="B58" s="93"/>
      <c r="C58" s="93"/>
      <c r="D58" s="93"/>
      <c r="E58" s="93"/>
      <c r="F58" s="93"/>
      <c r="G58" s="93"/>
      <c r="H58" s="93"/>
      <c r="I58" s="93"/>
      <c r="J58" s="93"/>
      <c r="K58" s="93"/>
      <c r="L58" s="93"/>
      <c r="M58" s="93"/>
      <c r="N58" s="93"/>
      <c r="O58" s="93"/>
      <c r="P58" s="93"/>
      <c r="Q58" s="93"/>
      <c r="R58" s="93"/>
      <c r="S58" s="93"/>
      <c r="T58" s="93"/>
      <c r="U58" s="93"/>
      <c r="V58" s="93"/>
    </row>
    <row r="59" spans="1:22" x14ac:dyDescent="0.25">
      <c r="A59" s="93"/>
      <c r="B59" s="93"/>
      <c r="C59" s="93"/>
      <c r="D59" s="93"/>
      <c r="E59" s="93"/>
      <c r="F59" s="93"/>
      <c r="G59" s="93"/>
      <c r="H59" s="93"/>
      <c r="I59" s="93"/>
      <c r="J59" s="93"/>
      <c r="K59" s="93"/>
      <c r="L59" s="93"/>
      <c r="M59" s="93"/>
      <c r="N59" s="93"/>
      <c r="O59" s="93"/>
      <c r="P59" s="93"/>
      <c r="Q59" s="93"/>
      <c r="R59" s="93"/>
      <c r="S59" s="93"/>
      <c r="T59" s="93"/>
      <c r="U59" s="93"/>
      <c r="V59" s="93"/>
    </row>
    <row r="60" spans="1:22" x14ac:dyDescent="0.25">
      <c r="A60" s="93"/>
      <c r="B60" s="93"/>
      <c r="C60" s="93"/>
      <c r="D60" s="93"/>
      <c r="E60" s="93"/>
      <c r="F60" s="93"/>
      <c r="G60" s="93"/>
      <c r="H60" s="93"/>
      <c r="I60" s="93"/>
      <c r="J60" s="93"/>
      <c r="K60" s="93"/>
      <c r="L60" s="93"/>
      <c r="M60" s="93"/>
      <c r="N60" s="93"/>
      <c r="O60" s="93"/>
      <c r="P60" s="93"/>
      <c r="Q60" s="93"/>
      <c r="R60" s="93"/>
      <c r="S60" s="93"/>
      <c r="T60" s="93"/>
      <c r="U60" s="93"/>
      <c r="V60" s="93"/>
    </row>
    <row r="61" spans="1:22" x14ac:dyDescent="0.25">
      <c r="A61" s="93"/>
      <c r="B61" s="93"/>
      <c r="C61" s="93"/>
      <c r="D61" s="93"/>
      <c r="E61" s="93"/>
      <c r="F61" s="93"/>
      <c r="G61" s="93"/>
      <c r="H61" s="93"/>
      <c r="I61" s="93"/>
      <c r="J61" s="93"/>
      <c r="K61" s="93"/>
      <c r="L61" s="93"/>
      <c r="M61" s="93"/>
      <c r="N61" s="93"/>
      <c r="O61" s="93"/>
      <c r="P61" s="93"/>
      <c r="Q61" s="93"/>
      <c r="R61" s="93"/>
      <c r="S61" s="93"/>
      <c r="T61" s="93"/>
      <c r="U61" s="93"/>
      <c r="V61" s="93"/>
    </row>
    <row r="62" spans="1:22" x14ac:dyDescent="0.25">
      <c r="A62" s="93"/>
      <c r="B62" s="93"/>
      <c r="C62" s="93"/>
      <c r="D62" s="93"/>
      <c r="E62" s="93"/>
      <c r="F62" s="93"/>
      <c r="G62" s="93"/>
      <c r="H62" s="93"/>
      <c r="I62" s="93"/>
      <c r="J62" s="93"/>
      <c r="K62" s="93"/>
      <c r="L62" s="93"/>
      <c r="M62" s="93"/>
      <c r="N62" s="93"/>
      <c r="O62" s="93"/>
      <c r="P62" s="93"/>
      <c r="Q62" s="93"/>
      <c r="R62" s="93"/>
      <c r="S62" s="93"/>
      <c r="T62" s="93"/>
      <c r="U62" s="93"/>
      <c r="V62" s="93"/>
    </row>
    <row r="63" spans="1:22" x14ac:dyDescent="0.25">
      <c r="A63" s="93"/>
      <c r="B63" s="93"/>
      <c r="C63" s="93"/>
      <c r="D63" s="93"/>
      <c r="E63" s="93"/>
      <c r="F63" s="93"/>
      <c r="G63" s="93"/>
      <c r="H63" s="93"/>
      <c r="I63" s="93"/>
      <c r="J63" s="93"/>
      <c r="K63" s="93"/>
      <c r="L63" s="93"/>
      <c r="M63" s="93"/>
      <c r="N63" s="93"/>
      <c r="O63" s="93"/>
      <c r="P63" s="93"/>
      <c r="Q63" s="93"/>
      <c r="R63" s="93"/>
      <c r="S63" s="93"/>
      <c r="T63" s="93"/>
      <c r="U63" s="93"/>
      <c r="V63" s="93"/>
    </row>
    <row r="64" spans="1:22" x14ac:dyDescent="0.25">
      <c r="A64" s="93"/>
      <c r="B64" s="93"/>
      <c r="C64" s="93"/>
      <c r="D64" s="93"/>
      <c r="E64" s="93"/>
      <c r="F64" s="93"/>
      <c r="G64" s="93"/>
      <c r="H64" s="93"/>
      <c r="I64" s="93"/>
      <c r="J64" s="93"/>
      <c r="K64" s="93"/>
      <c r="L64" s="93"/>
      <c r="M64" s="93"/>
      <c r="N64" s="93"/>
      <c r="O64" s="93"/>
      <c r="P64" s="93"/>
      <c r="Q64" s="93"/>
      <c r="R64" s="93"/>
      <c r="S64" s="93"/>
      <c r="T64" s="93"/>
      <c r="U64" s="93"/>
      <c r="V64" s="93"/>
    </row>
    <row r="65" spans="1:22" x14ac:dyDescent="0.25">
      <c r="A65" s="93"/>
      <c r="B65" s="93"/>
      <c r="C65" s="93"/>
      <c r="D65" s="93"/>
      <c r="E65" s="93"/>
      <c r="F65" s="93"/>
      <c r="G65" s="93"/>
      <c r="H65" s="93"/>
      <c r="I65" s="93"/>
      <c r="J65" s="93"/>
      <c r="K65" s="93"/>
      <c r="L65" s="93"/>
      <c r="M65" s="93"/>
      <c r="N65" s="93"/>
      <c r="O65" s="93"/>
      <c r="P65" s="93"/>
      <c r="Q65" s="93"/>
      <c r="R65" s="93"/>
      <c r="S65" s="93"/>
      <c r="T65" s="93"/>
      <c r="U65" s="93"/>
      <c r="V65" s="93"/>
    </row>
    <row r="66" spans="1:22" x14ac:dyDescent="0.25">
      <c r="A66" s="93"/>
      <c r="B66" s="93"/>
      <c r="C66" s="93"/>
      <c r="D66" s="93"/>
      <c r="E66" s="93"/>
      <c r="F66" s="93"/>
      <c r="G66" s="93"/>
      <c r="H66" s="93"/>
      <c r="I66" s="93"/>
      <c r="J66" s="93"/>
      <c r="K66" s="93"/>
      <c r="L66" s="93"/>
      <c r="M66" s="93"/>
      <c r="N66" s="93"/>
      <c r="O66" s="93"/>
      <c r="P66" s="93"/>
      <c r="Q66" s="93"/>
      <c r="R66" s="93"/>
      <c r="S66" s="93"/>
      <c r="T66" s="93"/>
      <c r="U66" s="93"/>
      <c r="V66" s="93"/>
    </row>
    <row r="67" spans="1:22" x14ac:dyDescent="0.25">
      <c r="A67" s="93"/>
      <c r="B67" s="93"/>
      <c r="C67" s="93"/>
      <c r="D67" s="93"/>
      <c r="E67" s="93"/>
      <c r="F67" s="93"/>
      <c r="G67" s="93"/>
      <c r="H67" s="93"/>
      <c r="I67" s="93"/>
      <c r="J67" s="93"/>
      <c r="K67" s="93"/>
      <c r="L67" s="93"/>
      <c r="M67" s="93"/>
      <c r="N67" s="93"/>
      <c r="O67" s="93"/>
      <c r="P67" s="93"/>
      <c r="Q67" s="93"/>
      <c r="R67" s="93"/>
      <c r="S67" s="93"/>
      <c r="T67" s="93"/>
      <c r="U67" s="93"/>
      <c r="V67" s="93"/>
    </row>
    <row r="68" spans="1:22" x14ac:dyDescent="0.25">
      <c r="A68" s="93"/>
      <c r="B68" s="93"/>
      <c r="C68" s="93"/>
      <c r="D68" s="93"/>
      <c r="E68" s="93"/>
      <c r="F68" s="93"/>
      <c r="G68" s="93"/>
      <c r="H68" s="93"/>
      <c r="I68" s="93"/>
      <c r="J68" s="93"/>
      <c r="K68" s="93"/>
      <c r="L68" s="93"/>
      <c r="M68" s="93"/>
      <c r="N68" s="93"/>
      <c r="O68" s="93"/>
      <c r="P68" s="93"/>
      <c r="Q68" s="93"/>
      <c r="R68" s="93"/>
      <c r="S68" s="93"/>
      <c r="T68" s="93"/>
      <c r="U68" s="93"/>
      <c r="V68" s="93"/>
    </row>
    <row r="69" spans="1:22" x14ac:dyDescent="0.25">
      <c r="A69" s="93"/>
      <c r="B69" s="93"/>
      <c r="C69" s="93"/>
      <c r="D69" s="93"/>
      <c r="E69" s="93"/>
      <c r="F69" s="93"/>
      <c r="G69" s="93"/>
      <c r="H69" s="93"/>
      <c r="I69" s="93"/>
      <c r="J69" s="93"/>
      <c r="K69" s="93"/>
      <c r="L69" s="93"/>
      <c r="M69" s="93"/>
      <c r="N69" s="93"/>
      <c r="O69" s="93"/>
      <c r="P69" s="93"/>
      <c r="Q69" s="93"/>
      <c r="R69" s="93"/>
      <c r="S69" s="93"/>
      <c r="T69" s="93"/>
      <c r="U69" s="93"/>
      <c r="V69" s="93"/>
    </row>
    <row r="70" spans="1:22" x14ac:dyDescent="0.25">
      <c r="A70" s="93"/>
      <c r="B70" s="93"/>
      <c r="C70" s="93"/>
      <c r="D70" s="93"/>
      <c r="E70" s="93"/>
      <c r="F70" s="93"/>
      <c r="G70" s="93"/>
      <c r="H70" s="93"/>
      <c r="I70" s="93"/>
      <c r="J70" s="93"/>
      <c r="K70" s="93"/>
      <c r="L70" s="93"/>
      <c r="M70" s="93"/>
      <c r="N70" s="93"/>
      <c r="O70" s="93"/>
      <c r="P70" s="93"/>
      <c r="Q70" s="93"/>
      <c r="R70" s="93"/>
      <c r="S70" s="93"/>
      <c r="T70" s="93"/>
      <c r="U70" s="93"/>
      <c r="V70" s="93"/>
    </row>
    <row r="71" spans="1:22" x14ac:dyDescent="0.25">
      <c r="A71" s="93"/>
      <c r="B71" s="93"/>
      <c r="C71" s="93"/>
      <c r="D71" s="93"/>
      <c r="E71" s="93"/>
      <c r="F71" s="93"/>
      <c r="G71" s="93"/>
      <c r="H71" s="93"/>
      <c r="I71" s="93"/>
      <c r="J71" s="93"/>
      <c r="K71" s="93"/>
      <c r="L71" s="93"/>
      <c r="M71" s="93"/>
      <c r="N71" s="93"/>
      <c r="O71" s="93"/>
      <c r="P71" s="93"/>
      <c r="Q71" s="93"/>
      <c r="R71" s="93"/>
      <c r="S71" s="93"/>
      <c r="T71" s="93"/>
      <c r="U71" s="93"/>
      <c r="V71" s="93"/>
    </row>
    <row r="72" spans="1:22" x14ac:dyDescent="0.25">
      <c r="A72" s="93"/>
      <c r="B72" s="93"/>
      <c r="C72" s="93"/>
      <c r="D72" s="93"/>
      <c r="E72" s="93"/>
      <c r="F72" s="93"/>
      <c r="G72" s="93"/>
      <c r="H72" s="93"/>
      <c r="I72" s="93"/>
      <c r="J72" s="93"/>
      <c r="K72" s="93"/>
      <c r="L72" s="93"/>
      <c r="M72" s="93"/>
      <c r="N72" s="93"/>
      <c r="O72" s="93"/>
      <c r="P72" s="93"/>
      <c r="Q72" s="93"/>
      <c r="R72" s="93"/>
      <c r="S72" s="93"/>
      <c r="T72" s="93"/>
      <c r="U72" s="93"/>
      <c r="V72" s="93"/>
    </row>
    <row r="73" spans="1:22" x14ac:dyDescent="0.25">
      <c r="A73" s="93"/>
      <c r="B73" s="93"/>
      <c r="C73" s="93"/>
      <c r="D73" s="93"/>
      <c r="E73" s="93"/>
      <c r="F73" s="93"/>
      <c r="G73" s="93"/>
      <c r="H73" s="93"/>
      <c r="I73" s="93"/>
      <c r="J73" s="93"/>
      <c r="K73" s="93"/>
      <c r="L73" s="93"/>
      <c r="M73" s="93"/>
      <c r="N73" s="93"/>
      <c r="O73" s="93"/>
      <c r="P73" s="93"/>
      <c r="Q73" s="93"/>
      <c r="R73" s="93"/>
      <c r="S73" s="93"/>
      <c r="T73" s="93"/>
      <c r="U73" s="93"/>
      <c r="V73" s="93"/>
    </row>
    <row r="74" spans="1:22" x14ac:dyDescent="0.25">
      <c r="A74" s="93"/>
    </row>
  </sheetData>
  <sheetProtection password="8E71" sheet="1" objects="1" scenarios="1"/>
  <sortState ref="A5:V47">
    <sortCondition ref="F5:F47"/>
  </sortState>
  <pageMargins left="0.25" right="0.25" top="0.5" bottom="0.5" header="0.3" footer="0.3"/>
  <pageSetup scale="73" orientation="portrait" r:id="rId1"/>
  <headerFooter>
    <oddFooter>&amp;L&amp;10&amp;Z&amp;F&amp;R&amp;10Prepared &amp;D  &amp;T</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C77"/>
  <sheetViews>
    <sheetView defaultGridColor="0" topLeftCell="E25" colorId="10" zoomScaleNormal="100" workbookViewId="0">
      <selection activeCell="V39" sqref="V39"/>
    </sheetView>
  </sheetViews>
  <sheetFormatPr defaultRowHeight="12" x14ac:dyDescent="0.2"/>
  <cols>
    <col min="1" max="1" width="1.28515625" style="15" customWidth="1"/>
    <col min="2" max="2" width="2.7109375" style="15" customWidth="1"/>
    <col min="3" max="3" width="12.28515625" style="15" customWidth="1"/>
    <col min="4" max="4" width="8.85546875" style="15" customWidth="1"/>
    <col min="5" max="5" width="10.7109375" style="15" customWidth="1"/>
    <col min="6" max="6" width="9.140625" style="15"/>
    <col min="7" max="8" width="11.5703125" style="15" customWidth="1"/>
    <col min="9" max="9" width="8.28515625" style="15" customWidth="1"/>
    <col min="10" max="10" width="10.28515625" style="15" customWidth="1"/>
    <col min="11" max="11" width="3" style="15" customWidth="1"/>
    <col min="12" max="12" width="2.7109375" style="15" customWidth="1"/>
    <col min="13" max="13" width="3.28515625" style="15" customWidth="1"/>
    <col min="14" max="14" width="2.7109375" style="15" customWidth="1"/>
    <col min="15" max="15" width="7.28515625" style="15" customWidth="1"/>
    <col min="16" max="16" width="5" style="16" customWidth="1"/>
    <col min="17" max="17" width="33.7109375" style="15" customWidth="1"/>
    <col min="18" max="18" width="7.7109375" style="15" customWidth="1"/>
    <col min="19" max="19" width="8.140625" style="17" customWidth="1"/>
    <col min="20" max="20" width="3.7109375" style="15" customWidth="1"/>
    <col min="21" max="21" width="7.7109375" style="15" customWidth="1"/>
    <col min="22" max="22" width="8.5703125" style="17" customWidth="1"/>
    <col min="23" max="23" width="2.7109375" style="15" customWidth="1"/>
    <col min="24" max="24" width="1.28515625" style="15" customWidth="1"/>
    <col min="25" max="254" width="9.140625" style="15"/>
    <col min="255" max="255" width="1.28515625" style="15" customWidth="1"/>
    <col min="256" max="256" width="2.7109375" style="15" customWidth="1"/>
    <col min="257" max="257" width="12.28515625" style="15" customWidth="1"/>
    <col min="258" max="258" width="8.85546875" style="15" customWidth="1"/>
    <col min="259" max="259" width="10.7109375" style="15" customWidth="1"/>
    <col min="260" max="260" width="9.140625" style="15"/>
    <col min="261" max="262" width="11.5703125" style="15" customWidth="1"/>
    <col min="263" max="263" width="8.28515625" style="15" customWidth="1"/>
    <col min="264" max="264" width="10.28515625" style="15" customWidth="1"/>
    <col min="265" max="265" width="3" style="15" customWidth="1"/>
    <col min="266" max="266" width="2.7109375" style="15" customWidth="1"/>
    <col min="267" max="267" width="3.28515625" style="15" customWidth="1"/>
    <col min="268" max="268" width="2.7109375" style="15" customWidth="1"/>
    <col min="269" max="269" width="7.28515625" style="15" customWidth="1"/>
    <col min="270" max="270" width="5" style="15" customWidth="1"/>
    <col min="271" max="271" width="33.7109375" style="15" customWidth="1"/>
    <col min="272" max="272" width="7.7109375" style="15" customWidth="1"/>
    <col min="273" max="273" width="0" style="15" hidden="1" customWidth="1"/>
    <col min="274" max="274" width="8.140625" style="15" customWidth="1"/>
    <col min="275" max="275" width="3.7109375" style="15" customWidth="1"/>
    <col min="276" max="276" width="7.7109375" style="15" customWidth="1"/>
    <col min="277" max="277" width="0" style="15" hidden="1" customWidth="1"/>
    <col min="278" max="278" width="7.7109375" style="15" customWidth="1"/>
    <col min="279" max="279" width="2.7109375" style="15" customWidth="1"/>
    <col min="280" max="280" width="1.28515625" style="15" customWidth="1"/>
    <col min="281" max="510" width="9.140625" style="15"/>
    <col min="511" max="511" width="1.28515625" style="15" customWidth="1"/>
    <col min="512" max="512" width="2.7109375" style="15" customWidth="1"/>
    <col min="513" max="513" width="12.28515625" style="15" customWidth="1"/>
    <col min="514" max="514" width="8.85546875" style="15" customWidth="1"/>
    <col min="515" max="515" width="10.7109375" style="15" customWidth="1"/>
    <col min="516" max="516" width="9.140625" style="15"/>
    <col min="517" max="518" width="11.5703125" style="15" customWidth="1"/>
    <col min="519" max="519" width="8.28515625" style="15" customWidth="1"/>
    <col min="520" max="520" width="10.28515625" style="15" customWidth="1"/>
    <col min="521" max="521" width="3" style="15" customWidth="1"/>
    <col min="522" max="522" width="2.7109375" style="15" customWidth="1"/>
    <col min="523" max="523" width="3.28515625" style="15" customWidth="1"/>
    <col min="524" max="524" width="2.7109375" style="15" customWidth="1"/>
    <col min="525" max="525" width="7.28515625" style="15" customWidth="1"/>
    <col min="526" max="526" width="5" style="15" customWidth="1"/>
    <col min="527" max="527" width="33.7109375" style="15" customWidth="1"/>
    <col min="528" max="528" width="7.7109375" style="15" customWidth="1"/>
    <col min="529" max="529" width="0" style="15" hidden="1" customWidth="1"/>
    <col min="530" max="530" width="8.140625" style="15" customWidth="1"/>
    <col min="531" max="531" width="3.7109375" style="15" customWidth="1"/>
    <col min="532" max="532" width="7.7109375" style="15" customWidth="1"/>
    <col min="533" max="533" width="0" style="15" hidden="1" customWidth="1"/>
    <col min="534" max="534" width="7.7109375" style="15" customWidth="1"/>
    <col min="535" max="535" width="2.7109375" style="15" customWidth="1"/>
    <col min="536" max="536" width="1.28515625" style="15" customWidth="1"/>
    <col min="537" max="766" width="9.140625" style="15"/>
    <col min="767" max="767" width="1.28515625" style="15" customWidth="1"/>
    <col min="768" max="768" width="2.7109375" style="15" customWidth="1"/>
    <col min="769" max="769" width="12.28515625" style="15" customWidth="1"/>
    <col min="770" max="770" width="8.85546875" style="15" customWidth="1"/>
    <col min="771" max="771" width="10.7109375" style="15" customWidth="1"/>
    <col min="772" max="772" width="9.140625" style="15"/>
    <col min="773" max="774" width="11.5703125" style="15" customWidth="1"/>
    <col min="775" max="775" width="8.28515625" style="15" customWidth="1"/>
    <col min="776" max="776" width="10.28515625" style="15" customWidth="1"/>
    <col min="777" max="777" width="3" style="15" customWidth="1"/>
    <col min="778" max="778" width="2.7109375" style="15" customWidth="1"/>
    <col min="779" max="779" width="3.28515625" style="15" customWidth="1"/>
    <col min="780" max="780" width="2.7109375" style="15" customWidth="1"/>
    <col min="781" max="781" width="7.28515625" style="15" customWidth="1"/>
    <col min="782" max="782" width="5" style="15" customWidth="1"/>
    <col min="783" max="783" width="33.7109375" style="15" customWidth="1"/>
    <col min="784" max="784" width="7.7109375" style="15" customWidth="1"/>
    <col min="785" max="785" width="0" style="15" hidden="1" customWidth="1"/>
    <col min="786" max="786" width="8.140625" style="15" customWidth="1"/>
    <col min="787" max="787" width="3.7109375" style="15" customWidth="1"/>
    <col min="788" max="788" width="7.7109375" style="15" customWidth="1"/>
    <col min="789" max="789" width="0" style="15" hidden="1" customWidth="1"/>
    <col min="790" max="790" width="7.7109375" style="15" customWidth="1"/>
    <col min="791" max="791" width="2.7109375" style="15" customWidth="1"/>
    <col min="792" max="792" width="1.28515625" style="15" customWidth="1"/>
    <col min="793" max="1022" width="9.140625" style="15"/>
    <col min="1023" max="1023" width="1.28515625" style="15" customWidth="1"/>
    <col min="1024" max="1024" width="2.7109375" style="15" customWidth="1"/>
    <col min="1025" max="1025" width="12.28515625" style="15" customWidth="1"/>
    <col min="1026" max="1026" width="8.85546875" style="15" customWidth="1"/>
    <col min="1027" max="1027" width="10.7109375" style="15" customWidth="1"/>
    <col min="1028" max="1028" width="9.140625" style="15"/>
    <col min="1029" max="1030" width="11.5703125" style="15" customWidth="1"/>
    <col min="1031" max="1031" width="8.28515625" style="15" customWidth="1"/>
    <col min="1032" max="1032" width="10.28515625" style="15" customWidth="1"/>
    <col min="1033" max="1033" width="3" style="15" customWidth="1"/>
    <col min="1034" max="1034" width="2.7109375" style="15" customWidth="1"/>
    <col min="1035" max="1035" width="3.28515625" style="15" customWidth="1"/>
    <col min="1036" max="1036" width="2.7109375" style="15" customWidth="1"/>
    <col min="1037" max="1037" width="7.28515625" style="15" customWidth="1"/>
    <col min="1038" max="1038" width="5" style="15" customWidth="1"/>
    <col min="1039" max="1039" width="33.7109375" style="15" customWidth="1"/>
    <col min="1040" max="1040" width="7.7109375" style="15" customWidth="1"/>
    <col min="1041" max="1041" width="0" style="15" hidden="1" customWidth="1"/>
    <col min="1042" max="1042" width="8.140625" style="15" customWidth="1"/>
    <col min="1043" max="1043" width="3.7109375" style="15" customWidth="1"/>
    <col min="1044" max="1044" width="7.7109375" style="15" customWidth="1"/>
    <col min="1045" max="1045" width="0" style="15" hidden="1" customWidth="1"/>
    <col min="1046" max="1046" width="7.7109375" style="15" customWidth="1"/>
    <col min="1047" max="1047" width="2.7109375" style="15" customWidth="1"/>
    <col min="1048" max="1048" width="1.28515625" style="15" customWidth="1"/>
    <col min="1049" max="1278" width="9.140625" style="15"/>
    <col min="1279" max="1279" width="1.28515625" style="15" customWidth="1"/>
    <col min="1280" max="1280" width="2.7109375" style="15" customWidth="1"/>
    <col min="1281" max="1281" width="12.28515625" style="15" customWidth="1"/>
    <col min="1282" max="1282" width="8.85546875" style="15" customWidth="1"/>
    <col min="1283" max="1283" width="10.7109375" style="15" customWidth="1"/>
    <col min="1284" max="1284" width="9.140625" style="15"/>
    <col min="1285" max="1286" width="11.5703125" style="15" customWidth="1"/>
    <col min="1287" max="1287" width="8.28515625" style="15" customWidth="1"/>
    <col min="1288" max="1288" width="10.28515625" style="15" customWidth="1"/>
    <col min="1289" max="1289" width="3" style="15" customWidth="1"/>
    <col min="1290" max="1290" width="2.7109375" style="15" customWidth="1"/>
    <col min="1291" max="1291" width="3.28515625" style="15" customWidth="1"/>
    <col min="1292" max="1292" width="2.7109375" style="15" customWidth="1"/>
    <col min="1293" max="1293" width="7.28515625" style="15" customWidth="1"/>
    <col min="1294" max="1294" width="5" style="15" customWidth="1"/>
    <col min="1295" max="1295" width="33.7109375" style="15" customWidth="1"/>
    <col min="1296" max="1296" width="7.7109375" style="15" customWidth="1"/>
    <col min="1297" max="1297" width="0" style="15" hidden="1" customWidth="1"/>
    <col min="1298" max="1298" width="8.140625" style="15" customWidth="1"/>
    <col min="1299" max="1299" width="3.7109375" style="15" customWidth="1"/>
    <col min="1300" max="1300" width="7.7109375" style="15" customWidth="1"/>
    <col min="1301" max="1301" width="0" style="15" hidden="1" customWidth="1"/>
    <col min="1302" max="1302" width="7.7109375" style="15" customWidth="1"/>
    <col min="1303" max="1303" width="2.7109375" style="15" customWidth="1"/>
    <col min="1304" max="1304" width="1.28515625" style="15" customWidth="1"/>
    <col min="1305" max="1534" width="9.140625" style="15"/>
    <col min="1535" max="1535" width="1.28515625" style="15" customWidth="1"/>
    <col min="1536" max="1536" width="2.7109375" style="15" customWidth="1"/>
    <col min="1537" max="1537" width="12.28515625" style="15" customWidth="1"/>
    <col min="1538" max="1538" width="8.85546875" style="15" customWidth="1"/>
    <col min="1539" max="1539" width="10.7109375" style="15" customWidth="1"/>
    <col min="1540" max="1540" width="9.140625" style="15"/>
    <col min="1541" max="1542" width="11.5703125" style="15" customWidth="1"/>
    <col min="1543" max="1543" width="8.28515625" style="15" customWidth="1"/>
    <col min="1544" max="1544" width="10.28515625" style="15" customWidth="1"/>
    <col min="1545" max="1545" width="3" style="15" customWidth="1"/>
    <col min="1546" max="1546" width="2.7109375" style="15" customWidth="1"/>
    <col min="1547" max="1547" width="3.28515625" style="15" customWidth="1"/>
    <col min="1548" max="1548" width="2.7109375" style="15" customWidth="1"/>
    <col min="1549" max="1549" width="7.28515625" style="15" customWidth="1"/>
    <col min="1550" max="1550" width="5" style="15" customWidth="1"/>
    <col min="1551" max="1551" width="33.7109375" style="15" customWidth="1"/>
    <col min="1552" max="1552" width="7.7109375" style="15" customWidth="1"/>
    <col min="1553" max="1553" width="0" style="15" hidden="1" customWidth="1"/>
    <col min="1554" max="1554" width="8.140625" style="15" customWidth="1"/>
    <col min="1555" max="1555" width="3.7109375" style="15" customWidth="1"/>
    <col min="1556" max="1556" width="7.7109375" style="15" customWidth="1"/>
    <col min="1557" max="1557" width="0" style="15" hidden="1" customWidth="1"/>
    <col min="1558" max="1558" width="7.7109375" style="15" customWidth="1"/>
    <col min="1559" max="1559" width="2.7109375" style="15" customWidth="1"/>
    <col min="1560" max="1560" width="1.28515625" style="15" customWidth="1"/>
    <col min="1561" max="1790" width="9.140625" style="15"/>
    <col min="1791" max="1791" width="1.28515625" style="15" customWidth="1"/>
    <col min="1792" max="1792" width="2.7109375" style="15" customWidth="1"/>
    <col min="1793" max="1793" width="12.28515625" style="15" customWidth="1"/>
    <col min="1794" max="1794" width="8.85546875" style="15" customWidth="1"/>
    <col min="1795" max="1795" width="10.7109375" style="15" customWidth="1"/>
    <col min="1796" max="1796" width="9.140625" style="15"/>
    <col min="1797" max="1798" width="11.5703125" style="15" customWidth="1"/>
    <col min="1799" max="1799" width="8.28515625" style="15" customWidth="1"/>
    <col min="1800" max="1800" width="10.28515625" style="15" customWidth="1"/>
    <col min="1801" max="1801" width="3" style="15" customWidth="1"/>
    <col min="1802" max="1802" width="2.7109375" style="15" customWidth="1"/>
    <col min="1803" max="1803" width="3.28515625" style="15" customWidth="1"/>
    <col min="1804" max="1804" width="2.7109375" style="15" customWidth="1"/>
    <col min="1805" max="1805" width="7.28515625" style="15" customWidth="1"/>
    <col min="1806" max="1806" width="5" style="15" customWidth="1"/>
    <col min="1807" max="1807" width="33.7109375" style="15" customWidth="1"/>
    <col min="1808" max="1808" width="7.7109375" style="15" customWidth="1"/>
    <col min="1809" max="1809" width="0" style="15" hidden="1" customWidth="1"/>
    <col min="1810" max="1810" width="8.140625" style="15" customWidth="1"/>
    <col min="1811" max="1811" width="3.7109375" style="15" customWidth="1"/>
    <col min="1812" max="1812" width="7.7109375" style="15" customWidth="1"/>
    <col min="1813" max="1813" width="0" style="15" hidden="1" customWidth="1"/>
    <col min="1814" max="1814" width="7.7109375" style="15" customWidth="1"/>
    <col min="1815" max="1815" width="2.7109375" style="15" customWidth="1"/>
    <col min="1816" max="1816" width="1.28515625" style="15" customWidth="1"/>
    <col min="1817" max="2046" width="9.140625" style="15"/>
    <col min="2047" max="2047" width="1.28515625" style="15" customWidth="1"/>
    <col min="2048" max="2048" width="2.7109375" style="15" customWidth="1"/>
    <col min="2049" max="2049" width="12.28515625" style="15" customWidth="1"/>
    <col min="2050" max="2050" width="8.85546875" style="15" customWidth="1"/>
    <col min="2051" max="2051" width="10.7109375" style="15" customWidth="1"/>
    <col min="2052" max="2052" width="9.140625" style="15"/>
    <col min="2053" max="2054" width="11.5703125" style="15" customWidth="1"/>
    <col min="2055" max="2055" width="8.28515625" style="15" customWidth="1"/>
    <col min="2056" max="2056" width="10.28515625" style="15" customWidth="1"/>
    <col min="2057" max="2057" width="3" style="15" customWidth="1"/>
    <col min="2058" max="2058" width="2.7109375" style="15" customWidth="1"/>
    <col min="2059" max="2059" width="3.28515625" style="15" customWidth="1"/>
    <col min="2060" max="2060" width="2.7109375" style="15" customWidth="1"/>
    <col min="2061" max="2061" width="7.28515625" style="15" customWidth="1"/>
    <col min="2062" max="2062" width="5" style="15" customWidth="1"/>
    <col min="2063" max="2063" width="33.7109375" style="15" customWidth="1"/>
    <col min="2064" max="2064" width="7.7109375" style="15" customWidth="1"/>
    <col min="2065" max="2065" width="0" style="15" hidden="1" customWidth="1"/>
    <col min="2066" max="2066" width="8.140625" style="15" customWidth="1"/>
    <col min="2067" max="2067" width="3.7109375" style="15" customWidth="1"/>
    <col min="2068" max="2068" width="7.7109375" style="15" customWidth="1"/>
    <col min="2069" max="2069" width="0" style="15" hidden="1" customWidth="1"/>
    <col min="2070" max="2070" width="7.7109375" style="15" customWidth="1"/>
    <col min="2071" max="2071" width="2.7109375" style="15" customWidth="1"/>
    <col min="2072" max="2072" width="1.28515625" style="15" customWidth="1"/>
    <col min="2073" max="2302" width="9.140625" style="15"/>
    <col min="2303" max="2303" width="1.28515625" style="15" customWidth="1"/>
    <col min="2304" max="2304" width="2.7109375" style="15" customWidth="1"/>
    <col min="2305" max="2305" width="12.28515625" style="15" customWidth="1"/>
    <col min="2306" max="2306" width="8.85546875" style="15" customWidth="1"/>
    <col min="2307" max="2307" width="10.7109375" style="15" customWidth="1"/>
    <col min="2308" max="2308" width="9.140625" style="15"/>
    <col min="2309" max="2310" width="11.5703125" style="15" customWidth="1"/>
    <col min="2311" max="2311" width="8.28515625" style="15" customWidth="1"/>
    <col min="2312" max="2312" width="10.28515625" style="15" customWidth="1"/>
    <col min="2313" max="2313" width="3" style="15" customWidth="1"/>
    <col min="2314" max="2314" width="2.7109375" style="15" customWidth="1"/>
    <col min="2315" max="2315" width="3.28515625" style="15" customWidth="1"/>
    <col min="2316" max="2316" width="2.7109375" style="15" customWidth="1"/>
    <col min="2317" max="2317" width="7.28515625" style="15" customWidth="1"/>
    <col min="2318" max="2318" width="5" style="15" customWidth="1"/>
    <col min="2319" max="2319" width="33.7109375" style="15" customWidth="1"/>
    <col min="2320" max="2320" width="7.7109375" style="15" customWidth="1"/>
    <col min="2321" max="2321" width="0" style="15" hidden="1" customWidth="1"/>
    <col min="2322" max="2322" width="8.140625" style="15" customWidth="1"/>
    <col min="2323" max="2323" width="3.7109375" style="15" customWidth="1"/>
    <col min="2324" max="2324" width="7.7109375" style="15" customWidth="1"/>
    <col min="2325" max="2325" width="0" style="15" hidden="1" customWidth="1"/>
    <col min="2326" max="2326" width="7.7109375" style="15" customWidth="1"/>
    <col min="2327" max="2327" width="2.7109375" style="15" customWidth="1"/>
    <col min="2328" max="2328" width="1.28515625" style="15" customWidth="1"/>
    <col min="2329" max="2558" width="9.140625" style="15"/>
    <col min="2559" max="2559" width="1.28515625" style="15" customWidth="1"/>
    <col min="2560" max="2560" width="2.7109375" style="15" customWidth="1"/>
    <col min="2561" max="2561" width="12.28515625" style="15" customWidth="1"/>
    <col min="2562" max="2562" width="8.85546875" style="15" customWidth="1"/>
    <col min="2563" max="2563" width="10.7109375" style="15" customWidth="1"/>
    <col min="2564" max="2564" width="9.140625" style="15"/>
    <col min="2565" max="2566" width="11.5703125" style="15" customWidth="1"/>
    <col min="2567" max="2567" width="8.28515625" style="15" customWidth="1"/>
    <col min="2568" max="2568" width="10.28515625" style="15" customWidth="1"/>
    <col min="2569" max="2569" width="3" style="15" customWidth="1"/>
    <col min="2570" max="2570" width="2.7109375" style="15" customWidth="1"/>
    <col min="2571" max="2571" width="3.28515625" style="15" customWidth="1"/>
    <col min="2572" max="2572" width="2.7109375" style="15" customWidth="1"/>
    <col min="2573" max="2573" width="7.28515625" style="15" customWidth="1"/>
    <col min="2574" max="2574" width="5" style="15" customWidth="1"/>
    <col min="2575" max="2575" width="33.7109375" style="15" customWidth="1"/>
    <col min="2576" max="2576" width="7.7109375" style="15" customWidth="1"/>
    <col min="2577" max="2577" width="0" style="15" hidden="1" customWidth="1"/>
    <col min="2578" max="2578" width="8.140625" style="15" customWidth="1"/>
    <col min="2579" max="2579" width="3.7109375" style="15" customWidth="1"/>
    <col min="2580" max="2580" width="7.7109375" style="15" customWidth="1"/>
    <col min="2581" max="2581" width="0" style="15" hidden="1" customWidth="1"/>
    <col min="2582" max="2582" width="7.7109375" style="15" customWidth="1"/>
    <col min="2583" max="2583" width="2.7109375" style="15" customWidth="1"/>
    <col min="2584" max="2584" width="1.28515625" style="15" customWidth="1"/>
    <col min="2585" max="2814" width="9.140625" style="15"/>
    <col min="2815" max="2815" width="1.28515625" style="15" customWidth="1"/>
    <col min="2816" max="2816" width="2.7109375" style="15" customWidth="1"/>
    <col min="2817" max="2817" width="12.28515625" style="15" customWidth="1"/>
    <col min="2818" max="2818" width="8.85546875" style="15" customWidth="1"/>
    <col min="2819" max="2819" width="10.7109375" style="15" customWidth="1"/>
    <col min="2820" max="2820" width="9.140625" style="15"/>
    <col min="2821" max="2822" width="11.5703125" style="15" customWidth="1"/>
    <col min="2823" max="2823" width="8.28515625" style="15" customWidth="1"/>
    <col min="2824" max="2824" width="10.28515625" style="15" customWidth="1"/>
    <col min="2825" max="2825" width="3" style="15" customWidth="1"/>
    <col min="2826" max="2826" width="2.7109375" style="15" customWidth="1"/>
    <col min="2827" max="2827" width="3.28515625" style="15" customWidth="1"/>
    <col min="2828" max="2828" width="2.7109375" style="15" customWidth="1"/>
    <col min="2829" max="2829" width="7.28515625" style="15" customWidth="1"/>
    <col min="2830" max="2830" width="5" style="15" customWidth="1"/>
    <col min="2831" max="2831" width="33.7109375" style="15" customWidth="1"/>
    <col min="2832" max="2832" width="7.7109375" style="15" customWidth="1"/>
    <col min="2833" max="2833" width="0" style="15" hidden="1" customWidth="1"/>
    <col min="2834" max="2834" width="8.140625" style="15" customWidth="1"/>
    <col min="2835" max="2835" width="3.7109375" style="15" customWidth="1"/>
    <col min="2836" max="2836" width="7.7109375" style="15" customWidth="1"/>
    <col min="2837" max="2837" width="0" style="15" hidden="1" customWidth="1"/>
    <col min="2838" max="2838" width="7.7109375" style="15" customWidth="1"/>
    <col min="2839" max="2839" width="2.7109375" style="15" customWidth="1"/>
    <col min="2840" max="2840" width="1.28515625" style="15" customWidth="1"/>
    <col min="2841" max="3070" width="9.140625" style="15"/>
    <col min="3071" max="3071" width="1.28515625" style="15" customWidth="1"/>
    <col min="3072" max="3072" width="2.7109375" style="15" customWidth="1"/>
    <col min="3073" max="3073" width="12.28515625" style="15" customWidth="1"/>
    <col min="3074" max="3074" width="8.85546875" style="15" customWidth="1"/>
    <col min="3075" max="3075" width="10.7109375" style="15" customWidth="1"/>
    <col min="3076" max="3076" width="9.140625" style="15"/>
    <col min="3077" max="3078" width="11.5703125" style="15" customWidth="1"/>
    <col min="3079" max="3079" width="8.28515625" style="15" customWidth="1"/>
    <col min="3080" max="3080" width="10.28515625" style="15" customWidth="1"/>
    <col min="3081" max="3081" width="3" style="15" customWidth="1"/>
    <col min="3082" max="3082" width="2.7109375" style="15" customWidth="1"/>
    <col min="3083" max="3083" width="3.28515625" style="15" customWidth="1"/>
    <col min="3084" max="3084" width="2.7109375" style="15" customWidth="1"/>
    <col min="3085" max="3085" width="7.28515625" style="15" customWidth="1"/>
    <col min="3086" max="3086" width="5" style="15" customWidth="1"/>
    <col min="3087" max="3087" width="33.7109375" style="15" customWidth="1"/>
    <col min="3088" max="3088" width="7.7109375" style="15" customWidth="1"/>
    <col min="3089" max="3089" width="0" style="15" hidden="1" customWidth="1"/>
    <col min="3090" max="3090" width="8.140625" style="15" customWidth="1"/>
    <col min="3091" max="3091" width="3.7109375" style="15" customWidth="1"/>
    <col min="3092" max="3092" width="7.7109375" style="15" customWidth="1"/>
    <col min="3093" max="3093" width="0" style="15" hidden="1" customWidth="1"/>
    <col min="3094" max="3094" width="7.7109375" style="15" customWidth="1"/>
    <col min="3095" max="3095" width="2.7109375" style="15" customWidth="1"/>
    <col min="3096" max="3096" width="1.28515625" style="15" customWidth="1"/>
    <col min="3097" max="3326" width="9.140625" style="15"/>
    <col min="3327" max="3327" width="1.28515625" style="15" customWidth="1"/>
    <col min="3328" max="3328" width="2.7109375" style="15" customWidth="1"/>
    <col min="3329" max="3329" width="12.28515625" style="15" customWidth="1"/>
    <col min="3330" max="3330" width="8.85546875" style="15" customWidth="1"/>
    <col min="3331" max="3331" width="10.7109375" style="15" customWidth="1"/>
    <col min="3332" max="3332" width="9.140625" style="15"/>
    <col min="3333" max="3334" width="11.5703125" style="15" customWidth="1"/>
    <col min="3335" max="3335" width="8.28515625" style="15" customWidth="1"/>
    <col min="3336" max="3336" width="10.28515625" style="15" customWidth="1"/>
    <col min="3337" max="3337" width="3" style="15" customWidth="1"/>
    <col min="3338" max="3338" width="2.7109375" style="15" customWidth="1"/>
    <col min="3339" max="3339" width="3.28515625" style="15" customWidth="1"/>
    <col min="3340" max="3340" width="2.7109375" style="15" customWidth="1"/>
    <col min="3341" max="3341" width="7.28515625" style="15" customWidth="1"/>
    <col min="3342" max="3342" width="5" style="15" customWidth="1"/>
    <col min="3343" max="3343" width="33.7109375" style="15" customWidth="1"/>
    <col min="3344" max="3344" width="7.7109375" style="15" customWidth="1"/>
    <col min="3345" max="3345" width="0" style="15" hidden="1" customWidth="1"/>
    <col min="3346" max="3346" width="8.140625" style="15" customWidth="1"/>
    <col min="3347" max="3347" width="3.7109375" style="15" customWidth="1"/>
    <col min="3348" max="3348" width="7.7109375" style="15" customWidth="1"/>
    <col min="3349" max="3349" width="0" style="15" hidden="1" customWidth="1"/>
    <col min="3350" max="3350" width="7.7109375" style="15" customWidth="1"/>
    <col min="3351" max="3351" width="2.7109375" style="15" customWidth="1"/>
    <col min="3352" max="3352" width="1.28515625" style="15" customWidth="1"/>
    <col min="3353" max="3582" width="9.140625" style="15"/>
    <col min="3583" max="3583" width="1.28515625" style="15" customWidth="1"/>
    <col min="3584" max="3584" width="2.7109375" style="15" customWidth="1"/>
    <col min="3585" max="3585" width="12.28515625" style="15" customWidth="1"/>
    <col min="3586" max="3586" width="8.85546875" style="15" customWidth="1"/>
    <col min="3587" max="3587" width="10.7109375" style="15" customWidth="1"/>
    <col min="3588" max="3588" width="9.140625" style="15"/>
    <col min="3589" max="3590" width="11.5703125" style="15" customWidth="1"/>
    <col min="3591" max="3591" width="8.28515625" style="15" customWidth="1"/>
    <col min="3592" max="3592" width="10.28515625" style="15" customWidth="1"/>
    <col min="3593" max="3593" width="3" style="15" customWidth="1"/>
    <col min="3594" max="3594" width="2.7109375" style="15" customWidth="1"/>
    <col min="3595" max="3595" width="3.28515625" style="15" customWidth="1"/>
    <col min="3596" max="3596" width="2.7109375" style="15" customWidth="1"/>
    <col min="3597" max="3597" width="7.28515625" style="15" customWidth="1"/>
    <col min="3598" max="3598" width="5" style="15" customWidth="1"/>
    <col min="3599" max="3599" width="33.7109375" style="15" customWidth="1"/>
    <col min="3600" max="3600" width="7.7109375" style="15" customWidth="1"/>
    <col min="3601" max="3601" width="0" style="15" hidden="1" customWidth="1"/>
    <col min="3602" max="3602" width="8.140625" style="15" customWidth="1"/>
    <col min="3603" max="3603" width="3.7109375" style="15" customWidth="1"/>
    <col min="3604" max="3604" width="7.7109375" style="15" customWidth="1"/>
    <col min="3605" max="3605" width="0" style="15" hidden="1" customWidth="1"/>
    <col min="3606" max="3606" width="7.7109375" style="15" customWidth="1"/>
    <col min="3607" max="3607" width="2.7109375" style="15" customWidth="1"/>
    <col min="3608" max="3608" width="1.28515625" style="15" customWidth="1"/>
    <col min="3609" max="3838" width="9.140625" style="15"/>
    <col min="3839" max="3839" width="1.28515625" style="15" customWidth="1"/>
    <col min="3840" max="3840" width="2.7109375" style="15" customWidth="1"/>
    <col min="3841" max="3841" width="12.28515625" style="15" customWidth="1"/>
    <col min="3842" max="3842" width="8.85546875" style="15" customWidth="1"/>
    <col min="3843" max="3843" width="10.7109375" style="15" customWidth="1"/>
    <col min="3844" max="3844" width="9.140625" style="15"/>
    <col min="3845" max="3846" width="11.5703125" style="15" customWidth="1"/>
    <col min="3847" max="3847" width="8.28515625" style="15" customWidth="1"/>
    <col min="3848" max="3848" width="10.28515625" style="15" customWidth="1"/>
    <col min="3849" max="3849" width="3" style="15" customWidth="1"/>
    <col min="3850" max="3850" width="2.7109375" style="15" customWidth="1"/>
    <col min="3851" max="3851" width="3.28515625" style="15" customWidth="1"/>
    <col min="3852" max="3852" width="2.7109375" style="15" customWidth="1"/>
    <col min="3853" max="3853" width="7.28515625" style="15" customWidth="1"/>
    <col min="3854" max="3854" width="5" style="15" customWidth="1"/>
    <col min="3855" max="3855" width="33.7109375" style="15" customWidth="1"/>
    <col min="3856" max="3856" width="7.7109375" style="15" customWidth="1"/>
    <col min="3857" max="3857" width="0" style="15" hidden="1" customWidth="1"/>
    <col min="3858" max="3858" width="8.140625" style="15" customWidth="1"/>
    <col min="3859" max="3859" width="3.7109375" style="15" customWidth="1"/>
    <col min="3860" max="3860" width="7.7109375" style="15" customWidth="1"/>
    <col min="3861" max="3861" width="0" style="15" hidden="1" customWidth="1"/>
    <col min="3862" max="3862" width="7.7109375" style="15" customWidth="1"/>
    <col min="3863" max="3863" width="2.7109375" style="15" customWidth="1"/>
    <col min="3864" max="3864" width="1.28515625" style="15" customWidth="1"/>
    <col min="3865" max="4094" width="9.140625" style="15"/>
    <col min="4095" max="4095" width="1.28515625" style="15" customWidth="1"/>
    <col min="4096" max="4096" width="2.7109375" style="15" customWidth="1"/>
    <col min="4097" max="4097" width="12.28515625" style="15" customWidth="1"/>
    <col min="4098" max="4098" width="8.85546875" style="15" customWidth="1"/>
    <col min="4099" max="4099" width="10.7109375" style="15" customWidth="1"/>
    <col min="4100" max="4100" width="9.140625" style="15"/>
    <col min="4101" max="4102" width="11.5703125" style="15" customWidth="1"/>
    <col min="4103" max="4103" width="8.28515625" style="15" customWidth="1"/>
    <col min="4104" max="4104" width="10.28515625" style="15" customWidth="1"/>
    <col min="4105" max="4105" width="3" style="15" customWidth="1"/>
    <col min="4106" max="4106" width="2.7109375" style="15" customWidth="1"/>
    <col min="4107" max="4107" width="3.28515625" style="15" customWidth="1"/>
    <col min="4108" max="4108" width="2.7109375" style="15" customWidth="1"/>
    <col min="4109" max="4109" width="7.28515625" style="15" customWidth="1"/>
    <col min="4110" max="4110" width="5" style="15" customWidth="1"/>
    <col min="4111" max="4111" width="33.7109375" style="15" customWidth="1"/>
    <col min="4112" max="4112" width="7.7109375" style="15" customWidth="1"/>
    <col min="4113" max="4113" width="0" style="15" hidden="1" customWidth="1"/>
    <col min="4114" max="4114" width="8.140625" style="15" customWidth="1"/>
    <col min="4115" max="4115" width="3.7109375" style="15" customWidth="1"/>
    <col min="4116" max="4116" width="7.7109375" style="15" customWidth="1"/>
    <col min="4117" max="4117" width="0" style="15" hidden="1" customWidth="1"/>
    <col min="4118" max="4118" width="7.7109375" style="15" customWidth="1"/>
    <col min="4119" max="4119" width="2.7109375" style="15" customWidth="1"/>
    <col min="4120" max="4120" width="1.28515625" style="15" customWidth="1"/>
    <col min="4121" max="4350" width="9.140625" style="15"/>
    <col min="4351" max="4351" width="1.28515625" style="15" customWidth="1"/>
    <col min="4352" max="4352" width="2.7109375" style="15" customWidth="1"/>
    <col min="4353" max="4353" width="12.28515625" style="15" customWidth="1"/>
    <col min="4354" max="4354" width="8.85546875" style="15" customWidth="1"/>
    <col min="4355" max="4355" width="10.7109375" style="15" customWidth="1"/>
    <col min="4356" max="4356" width="9.140625" style="15"/>
    <col min="4357" max="4358" width="11.5703125" style="15" customWidth="1"/>
    <col min="4359" max="4359" width="8.28515625" style="15" customWidth="1"/>
    <col min="4360" max="4360" width="10.28515625" style="15" customWidth="1"/>
    <col min="4361" max="4361" width="3" style="15" customWidth="1"/>
    <col min="4362" max="4362" width="2.7109375" style="15" customWidth="1"/>
    <col min="4363" max="4363" width="3.28515625" style="15" customWidth="1"/>
    <col min="4364" max="4364" width="2.7109375" style="15" customWidth="1"/>
    <col min="4365" max="4365" width="7.28515625" style="15" customWidth="1"/>
    <col min="4366" max="4366" width="5" style="15" customWidth="1"/>
    <col min="4367" max="4367" width="33.7109375" style="15" customWidth="1"/>
    <col min="4368" max="4368" width="7.7109375" style="15" customWidth="1"/>
    <col min="4369" max="4369" width="0" style="15" hidden="1" customWidth="1"/>
    <col min="4370" max="4370" width="8.140625" style="15" customWidth="1"/>
    <col min="4371" max="4371" width="3.7109375" style="15" customWidth="1"/>
    <col min="4372" max="4372" width="7.7109375" style="15" customWidth="1"/>
    <col min="4373" max="4373" width="0" style="15" hidden="1" customWidth="1"/>
    <col min="4374" max="4374" width="7.7109375" style="15" customWidth="1"/>
    <col min="4375" max="4375" width="2.7109375" style="15" customWidth="1"/>
    <col min="4376" max="4376" width="1.28515625" style="15" customWidth="1"/>
    <col min="4377" max="4606" width="9.140625" style="15"/>
    <col min="4607" max="4607" width="1.28515625" style="15" customWidth="1"/>
    <col min="4608" max="4608" width="2.7109375" style="15" customWidth="1"/>
    <col min="4609" max="4609" width="12.28515625" style="15" customWidth="1"/>
    <col min="4610" max="4610" width="8.85546875" style="15" customWidth="1"/>
    <col min="4611" max="4611" width="10.7109375" style="15" customWidth="1"/>
    <col min="4612" max="4612" width="9.140625" style="15"/>
    <col min="4613" max="4614" width="11.5703125" style="15" customWidth="1"/>
    <col min="4615" max="4615" width="8.28515625" style="15" customWidth="1"/>
    <col min="4616" max="4616" width="10.28515625" style="15" customWidth="1"/>
    <col min="4617" max="4617" width="3" style="15" customWidth="1"/>
    <col min="4618" max="4618" width="2.7109375" style="15" customWidth="1"/>
    <col min="4619" max="4619" width="3.28515625" style="15" customWidth="1"/>
    <col min="4620" max="4620" width="2.7109375" style="15" customWidth="1"/>
    <col min="4621" max="4621" width="7.28515625" style="15" customWidth="1"/>
    <col min="4622" max="4622" width="5" style="15" customWidth="1"/>
    <col min="4623" max="4623" width="33.7109375" style="15" customWidth="1"/>
    <col min="4624" max="4624" width="7.7109375" style="15" customWidth="1"/>
    <col min="4625" max="4625" width="0" style="15" hidden="1" customWidth="1"/>
    <col min="4626" max="4626" width="8.140625" style="15" customWidth="1"/>
    <col min="4627" max="4627" width="3.7109375" style="15" customWidth="1"/>
    <col min="4628" max="4628" width="7.7109375" style="15" customWidth="1"/>
    <col min="4629" max="4629" width="0" style="15" hidden="1" customWidth="1"/>
    <col min="4630" max="4630" width="7.7109375" style="15" customWidth="1"/>
    <col min="4631" max="4631" width="2.7109375" style="15" customWidth="1"/>
    <col min="4632" max="4632" width="1.28515625" style="15" customWidth="1"/>
    <col min="4633" max="4862" width="9.140625" style="15"/>
    <col min="4863" max="4863" width="1.28515625" style="15" customWidth="1"/>
    <col min="4864" max="4864" width="2.7109375" style="15" customWidth="1"/>
    <col min="4865" max="4865" width="12.28515625" style="15" customWidth="1"/>
    <col min="4866" max="4866" width="8.85546875" style="15" customWidth="1"/>
    <col min="4867" max="4867" width="10.7109375" style="15" customWidth="1"/>
    <col min="4868" max="4868" width="9.140625" style="15"/>
    <col min="4869" max="4870" width="11.5703125" style="15" customWidth="1"/>
    <col min="4871" max="4871" width="8.28515625" style="15" customWidth="1"/>
    <col min="4872" max="4872" width="10.28515625" style="15" customWidth="1"/>
    <col min="4873" max="4873" width="3" style="15" customWidth="1"/>
    <col min="4874" max="4874" width="2.7109375" style="15" customWidth="1"/>
    <col min="4875" max="4875" width="3.28515625" style="15" customWidth="1"/>
    <col min="4876" max="4876" width="2.7109375" style="15" customWidth="1"/>
    <col min="4877" max="4877" width="7.28515625" style="15" customWidth="1"/>
    <col min="4878" max="4878" width="5" style="15" customWidth="1"/>
    <col min="4879" max="4879" width="33.7109375" style="15" customWidth="1"/>
    <col min="4880" max="4880" width="7.7109375" style="15" customWidth="1"/>
    <col min="4881" max="4881" width="0" style="15" hidden="1" customWidth="1"/>
    <col min="4882" max="4882" width="8.140625" style="15" customWidth="1"/>
    <col min="4883" max="4883" width="3.7109375" style="15" customWidth="1"/>
    <col min="4884" max="4884" width="7.7109375" style="15" customWidth="1"/>
    <col min="4885" max="4885" width="0" style="15" hidden="1" customWidth="1"/>
    <col min="4886" max="4886" width="7.7109375" style="15" customWidth="1"/>
    <col min="4887" max="4887" width="2.7109375" style="15" customWidth="1"/>
    <col min="4888" max="4888" width="1.28515625" style="15" customWidth="1"/>
    <col min="4889" max="5118" width="9.140625" style="15"/>
    <col min="5119" max="5119" width="1.28515625" style="15" customWidth="1"/>
    <col min="5120" max="5120" width="2.7109375" style="15" customWidth="1"/>
    <col min="5121" max="5121" width="12.28515625" style="15" customWidth="1"/>
    <col min="5122" max="5122" width="8.85546875" style="15" customWidth="1"/>
    <col min="5123" max="5123" width="10.7109375" style="15" customWidth="1"/>
    <col min="5124" max="5124" width="9.140625" style="15"/>
    <col min="5125" max="5126" width="11.5703125" style="15" customWidth="1"/>
    <col min="5127" max="5127" width="8.28515625" style="15" customWidth="1"/>
    <col min="5128" max="5128" width="10.28515625" style="15" customWidth="1"/>
    <col min="5129" max="5129" width="3" style="15" customWidth="1"/>
    <col min="5130" max="5130" width="2.7109375" style="15" customWidth="1"/>
    <col min="5131" max="5131" width="3.28515625" style="15" customWidth="1"/>
    <col min="5132" max="5132" width="2.7109375" style="15" customWidth="1"/>
    <col min="5133" max="5133" width="7.28515625" style="15" customWidth="1"/>
    <col min="5134" max="5134" width="5" style="15" customWidth="1"/>
    <col min="5135" max="5135" width="33.7109375" style="15" customWidth="1"/>
    <col min="5136" max="5136" width="7.7109375" style="15" customWidth="1"/>
    <col min="5137" max="5137" width="0" style="15" hidden="1" customWidth="1"/>
    <col min="5138" max="5138" width="8.140625" style="15" customWidth="1"/>
    <col min="5139" max="5139" width="3.7109375" style="15" customWidth="1"/>
    <col min="5140" max="5140" width="7.7109375" style="15" customWidth="1"/>
    <col min="5141" max="5141" width="0" style="15" hidden="1" customWidth="1"/>
    <col min="5142" max="5142" width="7.7109375" style="15" customWidth="1"/>
    <col min="5143" max="5143" width="2.7109375" style="15" customWidth="1"/>
    <col min="5144" max="5144" width="1.28515625" style="15" customWidth="1"/>
    <col min="5145" max="5374" width="9.140625" style="15"/>
    <col min="5375" max="5375" width="1.28515625" style="15" customWidth="1"/>
    <col min="5376" max="5376" width="2.7109375" style="15" customWidth="1"/>
    <col min="5377" max="5377" width="12.28515625" style="15" customWidth="1"/>
    <col min="5378" max="5378" width="8.85546875" style="15" customWidth="1"/>
    <col min="5379" max="5379" width="10.7109375" style="15" customWidth="1"/>
    <col min="5380" max="5380" width="9.140625" style="15"/>
    <col min="5381" max="5382" width="11.5703125" style="15" customWidth="1"/>
    <col min="5383" max="5383" width="8.28515625" style="15" customWidth="1"/>
    <col min="5384" max="5384" width="10.28515625" style="15" customWidth="1"/>
    <col min="5385" max="5385" width="3" style="15" customWidth="1"/>
    <col min="5386" max="5386" width="2.7109375" style="15" customWidth="1"/>
    <col min="5387" max="5387" width="3.28515625" style="15" customWidth="1"/>
    <col min="5388" max="5388" width="2.7109375" style="15" customWidth="1"/>
    <col min="5389" max="5389" width="7.28515625" style="15" customWidth="1"/>
    <col min="5390" max="5390" width="5" style="15" customWidth="1"/>
    <col min="5391" max="5391" width="33.7109375" style="15" customWidth="1"/>
    <col min="5392" max="5392" width="7.7109375" style="15" customWidth="1"/>
    <col min="5393" max="5393" width="0" style="15" hidden="1" customWidth="1"/>
    <col min="5394" max="5394" width="8.140625" style="15" customWidth="1"/>
    <col min="5395" max="5395" width="3.7109375" style="15" customWidth="1"/>
    <col min="5396" max="5396" width="7.7109375" style="15" customWidth="1"/>
    <col min="5397" max="5397" width="0" style="15" hidden="1" customWidth="1"/>
    <col min="5398" max="5398" width="7.7109375" style="15" customWidth="1"/>
    <col min="5399" max="5399" width="2.7109375" style="15" customWidth="1"/>
    <col min="5400" max="5400" width="1.28515625" style="15" customWidth="1"/>
    <col min="5401" max="5630" width="9.140625" style="15"/>
    <col min="5631" max="5631" width="1.28515625" style="15" customWidth="1"/>
    <col min="5632" max="5632" width="2.7109375" style="15" customWidth="1"/>
    <col min="5633" max="5633" width="12.28515625" style="15" customWidth="1"/>
    <col min="5634" max="5634" width="8.85546875" style="15" customWidth="1"/>
    <col min="5635" max="5635" width="10.7109375" style="15" customWidth="1"/>
    <col min="5636" max="5636" width="9.140625" style="15"/>
    <col min="5637" max="5638" width="11.5703125" style="15" customWidth="1"/>
    <col min="5639" max="5639" width="8.28515625" style="15" customWidth="1"/>
    <col min="5640" max="5640" width="10.28515625" style="15" customWidth="1"/>
    <col min="5641" max="5641" width="3" style="15" customWidth="1"/>
    <col min="5642" max="5642" width="2.7109375" style="15" customWidth="1"/>
    <col min="5643" max="5643" width="3.28515625" style="15" customWidth="1"/>
    <col min="5644" max="5644" width="2.7109375" style="15" customWidth="1"/>
    <col min="5645" max="5645" width="7.28515625" style="15" customWidth="1"/>
    <col min="5646" max="5646" width="5" style="15" customWidth="1"/>
    <col min="5647" max="5647" width="33.7109375" style="15" customWidth="1"/>
    <col min="5648" max="5648" width="7.7109375" style="15" customWidth="1"/>
    <col min="5649" max="5649" width="0" style="15" hidden="1" customWidth="1"/>
    <col min="5650" max="5650" width="8.140625" style="15" customWidth="1"/>
    <col min="5651" max="5651" width="3.7109375" style="15" customWidth="1"/>
    <col min="5652" max="5652" width="7.7109375" style="15" customWidth="1"/>
    <col min="5653" max="5653" width="0" style="15" hidden="1" customWidth="1"/>
    <col min="5654" max="5654" width="7.7109375" style="15" customWidth="1"/>
    <col min="5655" max="5655" width="2.7109375" style="15" customWidth="1"/>
    <col min="5656" max="5656" width="1.28515625" style="15" customWidth="1"/>
    <col min="5657" max="5886" width="9.140625" style="15"/>
    <col min="5887" max="5887" width="1.28515625" style="15" customWidth="1"/>
    <col min="5888" max="5888" width="2.7109375" style="15" customWidth="1"/>
    <col min="5889" max="5889" width="12.28515625" style="15" customWidth="1"/>
    <col min="5890" max="5890" width="8.85546875" style="15" customWidth="1"/>
    <col min="5891" max="5891" width="10.7109375" style="15" customWidth="1"/>
    <col min="5892" max="5892" width="9.140625" style="15"/>
    <col min="5893" max="5894" width="11.5703125" style="15" customWidth="1"/>
    <col min="5895" max="5895" width="8.28515625" style="15" customWidth="1"/>
    <col min="5896" max="5896" width="10.28515625" style="15" customWidth="1"/>
    <col min="5897" max="5897" width="3" style="15" customWidth="1"/>
    <col min="5898" max="5898" width="2.7109375" style="15" customWidth="1"/>
    <col min="5899" max="5899" width="3.28515625" style="15" customWidth="1"/>
    <col min="5900" max="5900" width="2.7109375" style="15" customWidth="1"/>
    <col min="5901" max="5901" width="7.28515625" style="15" customWidth="1"/>
    <col min="5902" max="5902" width="5" style="15" customWidth="1"/>
    <col min="5903" max="5903" width="33.7109375" style="15" customWidth="1"/>
    <col min="5904" max="5904" width="7.7109375" style="15" customWidth="1"/>
    <col min="5905" max="5905" width="0" style="15" hidden="1" customWidth="1"/>
    <col min="5906" max="5906" width="8.140625" style="15" customWidth="1"/>
    <col min="5907" max="5907" width="3.7109375" style="15" customWidth="1"/>
    <col min="5908" max="5908" width="7.7109375" style="15" customWidth="1"/>
    <col min="5909" max="5909" width="0" style="15" hidden="1" customWidth="1"/>
    <col min="5910" max="5910" width="7.7109375" style="15" customWidth="1"/>
    <col min="5911" max="5911" width="2.7109375" style="15" customWidth="1"/>
    <col min="5912" max="5912" width="1.28515625" style="15" customWidth="1"/>
    <col min="5913" max="6142" width="9.140625" style="15"/>
    <col min="6143" max="6143" width="1.28515625" style="15" customWidth="1"/>
    <col min="6144" max="6144" width="2.7109375" style="15" customWidth="1"/>
    <col min="6145" max="6145" width="12.28515625" style="15" customWidth="1"/>
    <col min="6146" max="6146" width="8.85546875" style="15" customWidth="1"/>
    <col min="6147" max="6147" width="10.7109375" style="15" customWidth="1"/>
    <col min="6148" max="6148" width="9.140625" style="15"/>
    <col min="6149" max="6150" width="11.5703125" style="15" customWidth="1"/>
    <col min="6151" max="6151" width="8.28515625" style="15" customWidth="1"/>
    <col min="6152" max="6152" width="10.28515625" style="15" customWidth="1"/>
    <col min="6153" max="6153" width="3" style="15" customWidth="1"/>
    <col min="6154" max="6154" width="2.7109375" style="15" customWidth="1"/>
    <col min="6155" max="6155" width="3.28515625" style="15" customWidth="1"/>
    <col min="6156" max="6156" width="2.7109375" style="15" customWidth="1"/>
    <col min="6157" max="6157" width="7.28515625" style="15" customWidth="1"/>
    <col min="6158" max="6158" width="5" style="15" customWidth="1"/>
    <col min="6159" max="6159" width="33.7109375" style="15" customWidth="1"/>
    <col min="6160" max="6160" width="7.7109375" style="15" customWidth="1"/>
    <col min="6161" max="6161" width="0" style="15" hidden="1" customWidth="1"/>
    <col min="6162" max="6162" width="8.140625" style="15" customWidth="1"/>
    <col min="6163" max="6163" width="3.7109375" style="15" customWidth="1"/>
    <col min="6164" max="6164" width="7.7109375" style="15" customWidth="1"/>
    <col min="6165" max="6165" width="0" style="15" hidden="1" customWidth="1"/>
    <col min="6166" max="6166" width="7.7109375" style="15" customWidth="1"/>
    <col min="6167" max="6167" width="2.7109375" style="15" customWidth="1"/>
    <col min="6168" max="6168" width="1.28515625" style="15" customWidth="1"/>
    <col min="6169" max="6398" width="9.140625" style="15"/>
    <col min="6399" max="6399" width="1.28515625" style="15" customWidth="1"/>
    <col min="6400" max="6400" width="2.7109375" style="15" customWidth="1"/>
    <col min="6401" max="6401" width="12.28515625" style="15" customWidth="1"/>
    <col min="6402" max="6402" width="8.85546875" style="15" customWidth="1"/>
    <col min="6403" max="6403" width="10.7109375" style="15" customWidth="1"/>
    <col min="6404" max="6404" width="9.140625" style="15"/>
    <col min="6405" max="6406" width="11.5703125" style="15" customWidth="1"/>
    <col min="6407" max="6407" width="8.28515625" style="15" customWidth="1"/>
    <col min="6408" max="6408" width="10.28515625" style="15" customWidth="1"/>
    <col min="6409" max="6409" width="3" style="15" customWidth="1"/>
    <col min="6410" max="6410" width="2.7109375" style="15" customWidth="1"/>
    <col min="6411" max="6411" width="3.28515625" style="15" customWidth="1"/>
    <col min="6412" max="6412" width="2.7109375" style="15" customWidth="1"/>
    <col min="6413" max="6413" width="7.28515625" style="15" customWidth="1"/>
    <col min="6414" max="6414" width="5" style="15" customWidth="1"/>
    <col min="6415" max="6415" width="33.7109375" style="15" customWidth="1"/>
    <col min="6416" max="6416" width="7.7109375" style="15" customWidth="1"/>
    <col min="6417" max="6417" width="0" style="15" hidden="1" customWidth="1"/>
    <col min="6418" max="6418" width="8.140625" style="15" customWidth="1"/>
    <col min="6419" max="6419" width="3.7109375" style="15" customWidth="1"/>
    <col min="6420" max="6420" width="7.7109375" style="15" customWidth="1"/>
    <col min="6421" max="6421" width="0" style="15" hidden="1" customWidth="1"/>
    <col min="6422" max="6422" width="7.7109375" style="15" customWidth="1"/>
    <col min="6423" max="6423" width="2.7109375" style="15" customWidth="1"/>
    <col min="6424" max="6424" width="1.28515625" style="15" customWidth="1"/>
    <col min="6425" max="6654" width="9.140625" style="15"/>
    <col min="6655" max="6655" width="1.28515625" style="15" customWidth="1"/>
    <col min="6656" max="6656" width="2.7109375" style="15" customWidth="1"/>
    <col min="6657" max="6657" width="12.28515625" style="15" customWidth="1"/>
    <col min="6658" max="6658" width="8.85546875" style="15" customWidth="1"/>
    <col min="6659" max="6659" width="10.7109375" style="15" customWidth="1"/>
    <col min="6660" max="6660" width="9.140625" style="15"/>
    <col min="6661" max="6662" width="11.5703125" style="15" customWidth="1"/>
    <col min="6663" max="6663" width="8.28515625" style="15" customWidth="1"/>
    <col min="6664" max="6664" width="10.28515625" style="15" customWidth="1"/>
    <col min="6665" max="6665" width="3" style="15" customWidth="1"/>
    <col min="6666" max="6666" width="2.7109375" style="15" customWidth="1"/>
    <col min="6667" max="6667" width="3.28515625" style="15" customWidth="1"/>
    <col min="6668" max="6668" width="2.7109375" style="15" customWidth="1"/>
    <col min="6669" max="6669" width="7.28515625" style="15" customWidth="1"/>
    <col min="6670" max="6670" width="5" style="15" customWidth="1"/>
    <col min="6671" max="6671" width="33.7109375" style="15" customWidth="1"/>
    <col min="6672" max="6672" width="7.7109375" style="15" customWidth="1"/>
    <col min="6673" max="6673" width="0" style="15" hidden="1" customWidth="1"/>
    <col min="6674" max="6674" width="8.140625" style="15" customWidth="1"/>
    <col min="6675" max="6675" width="3.7109375" style="15" customWidth="1"/>
    <col min="6676" max="6676" width="7.7109375" style="15" customWidth="1"/>
    <col min="6677" max="6677" width="0" style="15" hidden="1" customWidth="1"/>
    <col min="6678" max="6678" width="7.7109375" style="15" customWidth="1"/>
    <col min="6679" max="6679" width="2.7109375" style="15" customWidth="1"/>
    <col min="6680" max="6680" width="1.28515625" style="15" customWidth="1"/>
    <col min="6681" max="6910" width="9.140625" style="15"/>
    <col min="6911" max="6911" width="1.28515625" style="15" customWidth="1"/>
    <col min="6912" max="6912" width="2.7109375" style="15" customWidth="1"/>
    <col min="6913" max="6913" width="12.28515625" style="15" customWidth="1"/>
    <col min="6914" max="6914" width="8.85546875" style="15" customWidth="1"/>
    <col min="6915" max="6915" width="10.7109375" style="15" customWidth="1"/>
    <col min="6916" max="6916" width="9.140625" style="15"/>
    <col min="6917" max="6918" width="11.5703125" style="15" customWidth="1"/>
    <col min="6919" max="6919" width="8.28515625" style="15" customWidth="1"/>
    <col min="6920" max="6920" width="10.28515625" style="15" customWidth="1"/>
    <col min="6921" max="6921" width="3" style="15" customWidth="1"/>
    <col min="6922" max="6922" width="2.7109375" style="15" customWidth="1"/>
    <col min="6923" max="6923" width="3.28515625" style="15" customWidth="1"/>
    <col min="6924" max="6924" width="2.7109375" style="15" customWidth="1"/>
    <col min="6925" max="6925" width="7.28515625" style="15" customWidth="1"/>
    <col min="6926" max="6926" width="5" style="15" customWidth="1"/>
    <col min="6927" max="6927" width="33.7109375" style="15" customWidth="1"/>
    <col min="6928" max="6928" width="7.7109375" style="15" customWidth="1"/>
    <col min="6929" max="6929" width="0" style="15" hidden="1" customWidth="1"/>
    <col min="6930" max="6930" width="8.140625" style="15" customWidth="1"/>
    <col min="6931" max="6931" width="3.7109375" style="15" customWidth="1"/>
    <col min="6932" max="6932" width="7.7109375" style="15" customWidth="1"/>
    <col min="6933" max="6933" width="0" style="15" hidden="1" customWidth="1"/>
    <col min="6934" max="6934" width="7.7109375" style="15" customWidth="1"/>
    <col min="6935" max="6935" width="2.7109375" style="15" customWidth="1"/>
    <col min="6936" max="6936" width="1.28515625" style="15" customWidth="1"/>
    <col min="6937" max="7166" width="9.140625" style="15"/>
    <col min="7167" max="7167" width="1.28515625" style="15" customWidth="1"/>
    <col min="7168" max="7168" width="2.7109375" style="15" customWidth="1"/>
    <col min="7169" max="7169" width="12.28515625" style="15" customWidth="1"/>
    <col min="7170" max="7170" width="8.85546875" style="15" customWidth="1"/>
    <col min="7171" max="7171" width="10.7109375" style="15" customWidth="1"/>
    <col min="7172" max="7172" width="9.140625" style="15"/>
    <col min="7173" max="7174" width="11.5703125" style="15" customWidth="1"/>
    <col min="7175" max="7175" width="8.28515625" style="15" customWidth="1"/>
    <col min="7176" max="7176" width="10.28515625" style="15" customWidth="1"/>
    <col min="7177" max="7177" width="3" style="15" customWidth="1"/>
    <col min="7178" max="7178" width="2.7109375" style="15" customWidth="1"/>
    <col min="7179" max="7179" width="3.28515625" style="15" customWidth="1"/>
    <col min="7180" max="7180" width="2.7109375" style="15" customWidth="1"/>
    <col min="7181" max="7181" width="7.28515625" style="15" customWidth="1"/>
    <col min="7182" max="7182" width="5" style="15" customWidth="1"/>
    <col min="7183" max="7183" width="33.7109375" style="15" customWidth="1"/>
    <col min="7184" max="7184" width="7.7109375" style="15" customWidth="1"/>
    <col min="7185" max="7185" width="0" style="15" hidden="1" customWidth="1"/>
    <col min="7186" max="7186" width="8.140625" style="15" customWidth="1"/>
    <col min="7187" max="7187" width="3.7109375" style="15" customWidth="1"/>
    <col min="7188" max="7188" width="7.7109375" style="15" customWidth="1"/>
    <col min="7189" max="7189" width="0" style="15" hidden="1" customWidth="1"/>
    <col min="7190" max="7190" width="7.7109375" style="15" customWidth="1"/>
    <col min="7191" max="7191" width="2.7109375" style="15" customWidth="1"/>
    <col min="7192" max="7192" width="1.28515625" style="15" customWidth="1"/>
    <col min="7193" max="7422" width="9.140625" style="15"/>
    <col min="7423" max="7423" width="1.28515625" style="15" customWidth="1"/>
    <col min="7424" max="7424" width="2.7109375" style="15" customWidth="1"/>
    <col min="7425" max="7425" width="12.28515625" style="15" customWidth="1"/>
    <col min="7426" max="7426" width="8.85546875" style="15" customWidth="1"/>
    <col min="7427" max="7427" width="10.7109375" style="15" customWidth="1"/>
    <col min="7428" max="7428" width="9.140625" style="15"/>
    <col min="7429" max="7430" width="11.5703125" style="15" customWidth="1"/>
    <col min="7431" max="7431" width="8.28515625" style="15" customWidth="1"/>
    <col min="7432" max="7432" width="10.28515625" style="15" customWidth="1"/>
    <col min="7433" max="7433" width="3" style="15" customWidth="1"/>
    <col min="7434" max="7434" width="2.7109375" style="15" customWidth="1"/>
    <col min="7435" max="7435" width="3.28515625" style="15" customWidth="1"/>
    <col min="7436" max="7436" width="2.7109375" style="15" customWidth="1"/>
    <col min="7437" max="7437" width="7.28515625" style="15" customWidth="1"/>
    <col min="7438" max="7438" width="5" style="15" customWidth="1"/>
    <col min="7439" max="7439" width="33.7109375" style="15" customWidth="1"/>
    <col min="7440" max="7440" width="7.7109375" style="15" customWidth="1"/>
    <col min="7441" max="7441" width="0" style="15" hidden="1" customWidth="1"/>
    <col min="7442" max="7442" width="8.140625" style="15" customWidth="1"/>
    <col min="7443" max="7443" width="3.7109375" style="15" customWidth="1"/>
    <col min="7444" max="7444" width="7.7109375" style="15" customWidth="1"/>
    <col min="7445" max="7445" width="0" style="15" hidden="1" customWidth="1"/>
    <col min="7446" max="7446" width="7.7109375" style="15" customWidth="1"/>
    <col min="7447" max="7447" width="2.7109375" style="15" customWidth="1"/>
    <col min="7448" max="7448" width="1.28515625" style="15" customWidth="1"/>
    <col min="7449" max="7678" width="9.140625" style="15"/>
    <col min="7679" max="7679" width="1.28515625" style="15" customWidth="1"/>
    <col min="7680" max="7680" width="2.7109375" style="15" customWidth="1"/>
    <col min="7681" max="7681" width="12.28515625" style="15" customWidth="1"/>
    <col min="7682" max="7682" width="8.85546875" style="15" customWidth="1"/>
    <col min="7683" max="7683" width="10.7109375" style="15" customWidth="1"/>
    <col min="7684" max="7684" width="9.140625" style="15"/>
    <col min="7685" max="7686" width="11.5703125" style="15" customWidth="1"/>
    <col min="7687" max="7687" width="8.28515625" style="15" customWidth="1"/>
    <col min="7688" max="7688" width="10.28515625" style="15" customWidth="1"/>
    <col min="7689" max="7689" width="3" style="15" customWidth="1"/>
    <col min="7690" max="7690" width="2.7109375" style="15" customWidth="1"/>
    <col min="7691" max="7691" width="3.28515625" style="15" customWidth="1"/>
    <col min="7692" max="7692" width="2.7109375" style="15" customWidth="1"/>
    <col min="7693" max="7693" width="7.28515625" style="15" customWidth="1"/>
    <col min="7694" max="7694" width="5" style="15" customWidth="1"/>
    <col min="7695" max="7695" width="33.7109375" style="15" customWidth="1"/>
    <col min="7696" max="7696" width="7.7109375" style="15" customWidth="1"/>
    <col min="7697" max="7697" width="0" style="15" hidden="1" customWidth="1"/>
    <col min="7698" max="7698" width="8.140625" style="15" customWidth="1"/>
    <col min="7699" max="7699" width="3.7109375" style="15" customWidth="1"/>
    <col min="7700" max="7700" width="7.7109375" style="15" customWidth="1"/>
    <col min="7701" max="7701" width="0" style="15" hidden="1" customWidth="1"/>
    <col min="7702" max="7702" width="7.7109375" style="15" customWidth="1"/>
    <col min="7703" max="7703" width="2.7109375" style="15" customWidth="1"/>
    <col min="7704" max="7704" width="1.28515625" style="15" customWidth="1"/>
    <col min="7705" max="7934" width="9.140625" style="15"/>
    <col min="7935" max="7935" width="1.28515625" style="15" customWidth="1"/>
    <col min="7936" max="7936" width="2.7109375" style="15" customWidth="1"/>
    <col min="7937" max="7937" width="12.28515625" style="15" customWidth="1"/>
    <col min="7938" max="7938" width="8.85546875" style="15" customWidth="1"/>
    <col min="7939" max="7939" width="10.7109375" style="15" customWidth="1"/>
    <col min="7940" max="7940" width="9.140625" style="15"/>
    <col min="7941" max="7942" width="11.5703125" style="15" customWidth="1"/>
    <col min="7943" max="7943" width="8.28515625" style="15" customWidth="1"/>
    <col min="7944" max="7944" width="10.28515625" style="15" customWidth="1"/>
    <col min="7945" max="7945" width="3" style="15" customWidth="1"/>
    <col min="7946" max="7946" width="2.7109375" style="15" customWidth="1"/>
    <col min="7947" max="7947" width="3.28515625" style="15" customWidth="1"/>
    <col min="7948" max="7948" width="2.7109375" style="15" customWidth="1"/>
    <col min="7949" max="7949" width="7.28515625" style="15" customWidth="1"/>
    <col min="7950" max="7950" width="5" style="15" customWidth="1"/>
    <col min="7951" max="7951" width="33.7109375" style="15" customWidth="1"/>
    <col min="7952" max="7952" width="7.7109375" style="15" customWidth="1"/>
    <col min="7953" max="7953" width="0" style="15" hidden="1" customWidth="1"/>
    <col min="7954" max="7954" width="8.140625" style="15" customWidth="1"/>
    <col min="7955" max="7955" width="3.7109375" style="15" customWidth="1"/>
    <col min="7956" max="7956" width="7.7109375" style="15" customWidth="1"/>
    <col min="7957" max="7957" width="0" style="15" hidden="1" customWidth="1"/>
    <col min="7958" max="7958" width="7.7109375" style="15" customWidth="1"/>
    <col min="7959" max="7959" width="2.7109375" style="15" customWidth="1"/>
    <col min="7960" max="7960" width="1.28515625" style="15" customWidth="1"/>
    <col min="7961" max="8190" width="9.140625" style="15"/>
    <col min="8191" max="8191" width="1.28515625" style="15" customWidth="1"/>
    <col min="8192" max="8192" width="2.7109375" style="15" customWidth="1"/>
    <col min="8193" max="8193" width="12.28515625" style="15" customWidth="1"/>
    <col min="8194" max="8194" width="8.85546875" style="15" customWidth="1"/>
    <col min="8195" max="8195" width="10.7109375" style="15" customWidth="1"/>
    <col min="8196" max="8196" width="9.140625" style="15"/>
    <col min="8197" max="8198" width="11.5703125" style="15" customWidth="1"/>
    <col min="8199" max="8199" width="8.28515625" style="15" customWidth="1"/>
    <col min="8200" max="8200" width="10.28515625" style="15" customWidth="1"/>
    <col min="8201" max="8201" width="3" style="15" customWidth="1"/>
    <col min="8202" max="8202" width="2.7109375" style="15" customWidth="1"/>
    <col min="8203" max="8203" width="3.28515625" style="15" customWidth="1"/>
    <col min="8204" max="8204" width="2.7109375" style="15" customWidth="1"/>
    <col min="8205" max="8205" width="7.28515625" style="15" customWidth="1"/>
    <col min="8206" max="8206" width="5" style="15" customWidth="1"/>
    <col min="8207" max="8207" width="33.7109375" style="15" customWidth="1"/>
    <col min="8208" max="8208" width="7.7109375" style="15" customWidth="1"/>
    <col min="8209" max="8209" width="0" style="15" hidden="1" customWidth="1"/>
    <col min="8210" max="8210" width="8.140625" style="15" customWidth="1"/>
    <col min="8211" max="8211" width="3.7109375" style="15" customWidth="1"/>
    <col min="8212" max="8212" width="7.7109375" style="15" customWidth="1"/>
    <col min="8213" max="8213" width="0" style="15" hidden="1" customWidth="1"/>
    <col min="8214" max="8214" width="7.7109375" style="15" customWidth="1"/>
    <col min="8215" max="8215" width="2.7109375" style="15" customWidth="1"/>
    <col min="8216" max="8216" width="1.28515625" style="15" customWidth="1"/>
    <col min="8217" max="8446" width="9.140625" style="15"/>
    <col min="8447" max="8447" width="1.28515625" style="15" customWidth="1"/>
    <col min="8448" max="8448" width="2.7109375" style="15" customWidth="1"/>
    <col min="8449" max="8449" width="12.28515625" style="15" customWidth="1"/>
    <col min="8450" max="8450" width="8.85546875" style="15" customWidth="1"/>
    <col min="8451" max="8451" width="10.7109375" style="15" customWidth="1"/>
    <col min="8452" max="8452" width="9.140625" style="15"/>
    <col min="8453" max="8454" width="11.5703125" style="15" customWidth="1"/>
    <col min="8455" max="8455" width="8.28515625" style="15" customWidth="1"/>
    <col min="8456" max="8456" width="10.28515625" style="15" customWidth="1"/>
    <col min="8457" max="8457" width="3" style="15" customWidth="1"/>
    <col min="8458" max="8458" width="2.7109375" style="15" customWidth="1"/>
    <col min="8459" max="8459" width="3.28515625" style="15" customWidth="1"/>
    <col min="8460" max="8460" width="2.7109375" style="15" customWidth="1"/>
    <col min="8461" max="8461" width="7.28515625" style="15" customWidth="1"/>
    <col min="8462" max="8462" width="5" style="15" customWidth="1"/>
    <col min="8463" max="8463" width="33.7109375" style="15" customWidth="1"/>
    <col min="8464" max="8464" width="7.7109375" style="15" customWidth="1"/>
    <col min="8465" max="8465" width="0" style="15" hidden="1" customWidth="1"/>
    <col min="8466" max="8466" width="8.140625" style="15" customWidth="1"/>
    <col min="8467" max="8467" width="3.7109375" style="15" customWidth="1"/>
    <col min="8468" max="8468" width="7.7109375" style="15" customWidth="1"/>
    <col min="8469" max="8469" width="0" style="15" hidden="1" customWidth="1"/>
    <col min="8470" max="8470" width="7.7109375" style="15" customWidth="1"/>
    <col min="8471" max="8471" width="2.7109375" style="15" customWidth="1"/>
    <col min="8472" max="8472" width="1.28515625" style="15" customWidth="1"/>
    <col min="8473" max="8702" width="9.140625" style="15"/>
    <col min="8703" max="8703" width="1.28515625" style="15" customWidth="1"/>
    <col min="8704" max="8704" width="2.7109375" style="15" customWidth="1"/>
    <col min="8705" max="8705" width="12.28515625" style="15" customWidth="1"/>
    <col min="8706" max="8706" width="8.85546875" style="15" customWidth="1"/>
    <col min="8707" max="8707" width="10.7109375" style="15" customWidth="1"/>
    <col min="8708" max="8708" width="9.140625" style="15"/>
    <col min="8709" max="8710" width="11.5703125" style="15" customWidth="1"/>
    <col min="8711" max="8711" width="8.28515625" style="15" customWidth="1"/>
    <col min="8712" max="8712" width="10.28515625" style="15" customWidth="1"/>
    <col min="8713" max="8713" width="3" style="15" customWidth="1"/>
    <col min="8714" max="8714" width="2.7109375" style="15" customWidth="1"/>
    <col min="8715" max="8715" width="3.28515625" style="15" customWidth="1"/>
    <col min="8716" max="8716" width="2.7109375" style="15" customWidth="1"/>
    <col min="8717" max="8717" width="7.28515625" style="15" customWidth="1"/>
    <col min="8718" max="8718" width="5" style="15" customWidth="1"/>
    <col min="8719" max="8719" width="33.7109375" style="15" customWidth="1"/>
    <col min="8720" max="8720" width="7.7109375" style="15" customWidth="1"/>
    <col min="8721" max="8721" width="0" style="15" hidden="1" customWidth="1"/>
    <col min="8722" max="8722" width="8.140625" style="15" customWidth="1"/>
    <col min="8723" max="8723" width="3.7109375" style="15" customWidth="1"/>
    <col min="8724" max="8724" width="7.7109375" style="15" customWidth="1"/>
    <col min="8725" max="8725" width="0" style="15" hidden="1" customWidth="1"/>
    <col min="8726" max="8726" width="7.7109375" style="15" customWidth="1"/>
    <col min="8727" max="8727" width="2.7109375" style="15" customWidth="1"/>
    <col min="8728" max="8728" width="1.28515625" style="15" customWidth="1"/>
    <col min="8729" max="8958" width="9.140625" style="15"/>
    <col min="8959" max="8959" width="1.28515625" style="15" customWidth="1"/>
    <col min="8960" max="8960" width="2.7109375" style="15" customWidth="1"/>
    <col min="8961" max="8961" width="12.28515625" style="15" customWidth="1"/>
    <col min="8962" max="8962" width="8.85546875" style="15" customWidth="1"/>
    <col min="8963" max="8963" width="10.7109375" style="15" customWidth="1"/>
    <col min="8964" max="8964" width="9.140625" style="15"/>
    <col min="8965" max="8966" width="11.5703125" style="15" customWidth="1"/>
    <col min="8967" max="8967" width="8.28515625" style="15" customWidth="1"/>
    <col min="8968" max="8968" width="10.28515625" style="15" customWidth="1"/>
    <col min="8969" max="8969" width="3" style="15" customWidth="1"/>
    <col min="8970" max="8970" width="2.7109375" style="15" customWidth="1"/>
    <col min="8971" max="8971" width="3.28515625" style="15" customWidth="1"/>
    <col min="8972" max="8972" width="2.7109375" style="15" customWidth="1"/>
    <col min="8973" max="8973" width="7.28515625" style="15" customWidth="1"/>
    <col min="8974" max="8974" width="5" style="15" customWidth="1"/>
    <col min="8975" max="8975" width="33.7109375" style="15" customWidth="1"/>
    <col min="8976" max="8976" width="7.7109375" style="15" customWidth="1"/>
    <col min="8977" max="8977" width="0" style="15" hidden="1" customWidth="1"/>
    <col min="8978" max="8978" width="8.140625" style="15" customWidth="1"/>
    <col min="8979" max="8979" width="3.7109375" style="15" customWidth="1"/>
    <col min="8980" max="8980" width="7.7109375" style="15" customWidth="1"/>
    <col min="8981" max="8981" width="0" style="15" hidden="1" customWidth="1"/>
    <col min="8982" max="8982" width="7.7109375" style="15" customWidth="1"/>
    <col min="8983" max="8983" width="2.7109375" style="15" customWidth="1"/>
    <col min="8984" max="8984" width="1.28515625" style="15" customWidth="1"/>
    <col min="8985" max="9214" width="9.140625" style="15"/>
    <col min="9215" max="9215" width="1.28515625" style="15" customWidth="1"/>
    <col min="9216" max="9216" width="2.7109375" style="15" customWidth="1"/>
    <col min="9217" max="9217" width="12.28515625" style="15" customWidth="1"/>
    <col min="9218" max="9218" width="8.85546875" style="15" customWidth="1"/>
    <col min="9219" max="9219" width="10.7109375" style="15" customWidth="1"/>
    <col min="9220" max="9220" width="9.140625" style="15"/>
    <col min="9221" max="9222" width="11.5703125" style="15" customWidth="1"/>
    <col min="9223" max="9223" width="8.28515625" style="15" customWidth="1"/>
    <col min="9224" max="9224" width="10.28515625" style="15" customWidth="1"/>
    <col min="9225" max="9225" width="3" style="15" customWidth="1"/>
    <col min="9226" max="9226" width="2.7109375" style="15" customWidth="1"/>
    <col min="9227" max="9227" width="3.28515625" style="15" customWidth="1"/>
    <col min="9228" max="9228" width="2.7109375" style="15" customWidth="1"/>
    <col min="9229" max="9229" width="7.28515625" style="15" customWidth="1"/>
    <col min="9230" max="9230" width="5" style="15" customWidth="1"/>
    <col min="9231" max="9231" width="33.7109375" style="15" customWidth="1"/>
    <col min="9232" max="9232" width="7.7109375" style="15" customWidth="1"/>
    <col min="9233" max="9233" width="0" style="15" hidden="1" customWidth="1"/>
    <col min="9234" max="9234" width="8.140625" style="15" customWidth="1"/>
    <col min="9235" max="9235" width="3.7109375" style="15" customWidth="1"/>
    <col min="9236" max="9236" width="7.7109375" style="15" customWidth="1"/>
    <col min="9237" max="9237" width="0" style="15" hidden="1" customWidth="1"/>
    <col min="9238" max="9238" width="7.7109375" style="15" customWidth="1"/>
    <col min="9239" max="9239" width="2.7109375" style="15" customWidth="1"/>
    <col min="9240" max="9240" width="1.28515625" style="15" customWidth="1"/>
    <col min="9241" max="9470" width="9.140625" style="15"/>
    <col min="9471" max="9471" width="1.28515625" style="15" customWidth="1"/>
    <col min="9472" max="9472" width="2.7109375" style="15" customWidth="1"/>
    <col min="9473" max="9473" width="12.28515625" style="15" customWidth="1"/>
    <col min="9474" max="9474" width="8.85546875" style="15" customWidth="1"/>
    <col min="9475" max="9475" width="10.7109375" style="15" customWidth="1"/>
    <col min="9476" max="9476" width="9.140625" style="15"/>
    <col min="9477" max="9478" width="11.5703125" style="15" customWidth="1"/>
    <col min="9479" max="9479" width="8.28515625" style="15" customWidth="1"/>
    <col min="9480" max="9480" width="10.28515625" style="15" customWidth="1"/>
    <col min="9481" max="9481" width="3" style="15" customWidth="1"/>
    <col min="9482" max="9482" width="2.7109375" style="15" customWidth="1"/>
    <col min="9483" max="9483" width="3.28515625" style="15" customWidth="1"/>
    <col min="9484" max="9484" width="2.7109375" style="15" customWidth="1"/>
    <col min="9485" max="9485" width="7.28515625" style="15" customWidth="1"/>
    <col min="9486" max="9486" width="5" style="15" customWidth="1"/>
    <col min="9487" max="9487" width="33.7109375" style="15" customWidth="1"/>
    <col min="9488" max="9488" width="7.7109375" style="15" customWidth="1"/>
    <col min="9489" max="9489" width="0" style="15" hidden="1" customWidth="1"/>
    <col min="9490" max="9490" width="8.140625" style="15" customWidth="1"/>
    <col min="9491" max="9491" width="3.7109375" style="15" customWidth="1"/>
    <col min="9492" max="9492" width="7.7109375" style="15" customWidth="1"/>
    <col min="9493" max="9493" width="0" style="15" hidden="1" customWidth="1"/>
    <col min="9494" max="9494" width="7.7109375" style="15" customWidth="1"/>
    <col min="9495" max="9495" width="2.7109375" style="15" customWidth="1"/>
    <col min="9496" max="9496" width="1.28515625" style="15" customWidth="1"/>
    <col min="9497" max="9726" width="9.140625" style="15"/>
    <col min="9727" max="9727" width="1.28515625" style="15" customWidth="1"/>
    <col min="9728" max="9728" width="2.7109375" style="15" customWidth="1"/>
    <col min="9729" max="9729" width="12.28515625" style="15" customWidth="1"/>
    <col min="9730" max="9730" width="8.85546875" style="15" customWidth="1"/>
    <col min="9731" max="9731" width="10.7109375" style="15" customWidth="1"/>
    <col min="9732" max="9732" width="9.140625" style="15"/>
    <col min="9733" max="9734" width="11.5703125" style="15" customWidth="1"/>
    <col min="9735" max="9735" width="8.28515625" style="15" customWidth="1"/>
    <col min="9736" max="9736" width="10.28515625" style="15" customWidth="1"/>
    <col min="9737" max="9737" width="3" style="15" customWidth="1"/>
    <col min="9738" max="9738" width="2.7109375" style="15" customWidth="1"/>
    <col min="9739" max="9739" width="3.28515625" style="15" customWidth="1"/>
    <col min="9740" max="9740" width="2.7109375" style="15" customWidth="1"/>
    <col min="9741" max="9741" width="7.28515625" style="15" customWidth="1"/>
    <col min="9742" max="9742" width="5" style="15" customWidth="1"/>
    <col min="9743" max="9743" width="33.7109375" style="15" customWidth="1"/>
    <col min="9744" max="9744" width="7.7109375" style="15" customWidth="1"/>
    <col min="9745" max="9745" width="0" style="15" hidden="1" customWidth="1"/>
    <col min="9746" max="9746" width="8.140625" style="15" customWidth="1"/>
    <col min="9747" max="9747" width="3.7109375" style="15" customWidth="1"/>
    <col min="9748" max="9748" width="7.7109375" style="15" customWidth="1"/>
    <col min="9749" max="9749" width="0" style="15" hidden="1" customWidth="1"/>
    <col min="9750" max="9750" width="7.7109375" style="15" customWidth="1"/>
    <col min="9751" max="9751" width="2.7109375" style="15" customWidth="1"/>
    <col min="9752" max="9752" width="1.28515625" style="15" customWidth="1"/>
    <col min="9753" max="9982" width="9.140625" style="15"/>
    <col min="9983" max="9983" width="1.28515625" style="15" customWidth="1"/>
    <col min="9984" max="9984" width="2.7109375" style="15" customWidth="1"/>
    <col min="9985" max="9985" width="12.28515625" style="15" customWidth="1"/>
    <col min="9986" max="9986" width="8.85546875" style="15" customWidth="1"/>
    <col min="9987" max="9987" width="10.7109375" style="15" customWidth="1"/>
    <col min="9988" max="9988" width="9.140625" style="15"/>
    <col min="9989" max="9990" width="11.5703125" style="15" customWidth="1"/>
    <col min="9991" max="9991" width="8.28515625" style="15" customWidth="1"/>
    <col min="9992" max="9992" width="10.28515625" style="15" customWidth="1"/>
    <col min="9993" max="9993" width="3" style="15" customWidth="1"/>
    <col min="9994" max="9994" width="2.7109375" style="15" customWidth="1"/>
    <col min="9995" max="9995" width="3.28515625" style="15" customWidth="1"/>
    <col min="9996" max="9996" width="2.7109375" style="15" customWidth="1"/>
    <col min="9997" max="9997" width="7.28515625" style="15" customWidth="1"/>
    <col min="9998" max="9998" width="5" style="15" customWidth="1"/>
    <col min="9999" max="9999" width="33.7109375" style="15" customWidth="1"/>
    <col min="10000" max="10000" width="7.7109375" style="15" customWidth="1"/>
    <col min="10001" max="10001" width="0" style="15" hidden="1" customWidth="1"/>
    <col min="10002" max="10002" width="8.140625" style="15" customWidth="1"/>
    <col min="10003" max="10003" width="3.7109375" style="15" customWidth="1"/>
    <col min="10004" max="10004" width="7.7109375" style="15" customWidth="1"/>
    <col min="10005" max="10005" width="0" style="15" hidden="1" customWidth="1"/>
    <col min="10006" max="10006" width="7.7109375" style="15" customWidth="1"/>
    <col min="10007" max="10007" width="2.7109375" style="15" customWidth="1"/>
    <col min="10008" max="10008" width="1.28515625" style="15" customWidth="1"/>
    <col min="10009" max="10238" width="9.140625" style="15"/>
    <col min="10239" max="10239" width="1.28515625" style="15" customWidth="1"/>
    <col min="10240" max="10240" width="2.7109375" style="15" customWidth="1"/>
    <col min="10241" max="10241" width="12.28515625" style="15" customWidth="1"/>
    <col min="10242" max="10242" width="8.85546875" style="15" customWidth="1"/>
    <col min="10243" max="10243" width="10.7109375" style="15" customWidth="1"/>
    <col min="10244" max="10244" width="9.140625" style="15"/>
    <col min="10245" max="10246" width="11.5703125" style="15" customWidth="1"/>
    <col min="10247" max="10247" width="8.28515625" style="15" customWidth="1"/>
    <col min="10248" max="10248" width="10.28515625" style="15" customWidth="1"/>
    <col min="10249" max="10249" width="3" style="15" customWidth="1"/>
    <col min="10250" max="10250" width="2.7109375" style="15" customWidth="1"/>
    <col min="10251" max="10251" width="3.28515625" style="15" customWidth="1"/>
    <col min="10252" max="10252" width="2.7109375" style="15" customWidth="1"/>
    <col min="10253" max="10253" width="7.28515625" style="15" customWidth="1"/>
    <col min="10254" max="10254" width="5" style="15" customWidth="1"/>
    <col min="10255" max="10255" width="33.7109375" style="15" customWidth="1"/>
    <col min="10256" max="10256" width="7.7109375" style="15" customWidth="1"/>
    <col min="10257" max="10257" width="0" style="15" hidden="1" customWidth="1"/>
    <col min="10258" max="10258" width="8.140625" style="15" customWidth="1"/>
    <col min="10259" max="10259" width="3.7109375" style="15" customWidth="1"/>
    <col min="10260" max="10260" width="7.7109375" style="15" customWidth="1"/>
    <col min="10261" max="10261" width="0" style="15" hidden="1" customWidth="1"/>
    <col min="10262" max="10262" width="7.7109375" style="15" customWidth="1"/>
    <col min="10263" max="10263" width="2.7109375" style="15" customWidth="1"/>
    <col min="10264" max="10264" width="1.28515625" style="15" customWidth="1"/>
    <col min="10265" max="10494" width="9.140625" style="15"/>
    <col min="10495" max="10495" width="1.28515625" style="15" customWidth="1"/>
    <col min="10496" max="10496" width="2.7109375" style="15" customWidth="1"/>
    <col min="10497" max="10497" width="12.28515625" style="15" customWidth="1"/>
    <col min="10498" max="10498" width="8.85546875" style="15" customWidth="1"/>
    <col min="10499" max="10499" width="10.7109375" style="15" customWidth="1"/>
    <col min="10500" max="10500" width="9.140625" style="15"/>
    <col min="10501" max="10502" width="11.5703125" style="15" customWidth="1"/>
    <col min="10503" max="10503" width="8.28515625" style="15" customWidth="1"/>
    <col min="10504" max="10504" width="10.28515625" style="15" customWidth="1"/>
    <col min="10505" max="10505" width="3" style="15" customWidth="1"/>
    <col min="10506" max="10506" width="2.7109375" style="15" customWidth="1"/>
    <col min="10507" max="10507" width="3.28515625" style="15" customWidth="1"/>
    <col min="10508" max="10508" width="2.7109375" style="15" customWidth="1"/>
    <col min="10509" max="10509" width="7.28515625" style="15" customWidth="1"/>
    <col min="10510" max="10510" width="5" style="15" customWidth="1"/>
    <col min="10511" max="10511" width="33.7109375" style="15" customWidth="1"/>
    <col min="10512" max="10512" width="7.7109375" style="15" customWidth="1"/>
    <col min="10513" max="10513" width="0" style="15" hidden="1" customWidth="1"/>
    <col min="10514" max="10514" width="8.140625" style="15" customWidth="1"/>
    <col min="10515" max="10515" width="3.7109375" style="15" customWidth="1"/>
    <col min="10516" max="10516" width="7.7109375" style="15" customWidth="1"/>
    <col min="10517" max="10517" width="0" style="15" hidden="1" customWidth="1"/>
    <col min="10518" max="10518" width="7.7109375" style="15" customWidth="1"/>
    <col min="10519" max="10519" width="2.7109375" style="15" customWidth="1"/>
    <col min="10520" max="10520" width="1.28515625" style="15" customWidth="1"/>
    <col min="10521" max="10750" width="9.140625" style="15"/>
    <col min="10751" max="10751" width="1.28515625" style="15" customWidth="1"/>
    <col min="10752" max="10752" width="2.7109375" style="15" customWidth="1"/>
    <col min="10753" max="10753" width="12.28515625" style="15" customWidth="1"/>
    <col min="10754" max="10754" width="8.85546875" style="15" customWidth="1"/>
    <col min="10755" max="10755" width="10.7109375" style="15" customWidth="1"/>
    <col min="10756" max="10756" width="9.140625" style="15"/>
    <col min="10757" max="10758" width="11.5703125" style="15" customWidth="1"/>
    <col min="10759" max="10759" width="8.28515625" style="15" customWidth="1"/>
    <col min="10760" max="10760" width="10.28515625" style="15" customWidth="1"/>
    <col min="10761" max="10761" width="3" style="15" customWidth="1"/>
    <col min="10762" max="10762" width="2.7109375" style="15" customWidth="1"/>
    <col min="10763" max="10763" width="3.28515625" style="15" customWidth="1"/>
    <col min="10764" max="10764" width="2.7109375" style="15" customWidth="1"/>
    <col min="10765" max="10765" width="7.28515625" style="15" customWidth="1"/>
    <col min="10766" max="10766" width="5" style="15" customWidth="1"/>
    <col min="10767" max="10767" width="33.7109375" style="15" customWidth="1"/>
    <col min="10768" max="10768" width="7.7109375" style="15" customWidth="1"/>
    <col min="10769" max="10769" width="0" style="15" hidden="1" customWidth="1"/>
    <col min="10770" max="10770" width="8.140625" style="15" customWidth="1"/>
    <col min="10771" max="10771" width="3.7109375" style="15" customWidth="1"/>
    <col min="10772" max="10772" width="7.7109375" style="15" customWidth="1"/>
    <col min="10773" max="10773" width="0" style="15" hidden="1" customWidth="1"/>
    <col min="10774" max="10774" width="7.7109375" style="15" customWidth="1"/>
    <col min="10775" max="10775" width="2.7109375" style="15" customWidth="1"/>
    <col min="10776" max="10776" width="1.28515625" style="15" customWidth="1"/>
    <col min="10777" max="11006" width="9.140625" style="15"/>
    <col min="11007" max="11007" width="1.28515625" style="15" customWidth="1"/>
    <col min="11008" max="11008" width="2.7109375" style="15" customWidth="1"/>
    <col min="11009" max="11009" width="12.28515625" style="15" customWidth="1"/>
    <col min="11010" max="11010" width="8.85546875" style="15" customWidth="1"/>
    <col min="11011" max="11011" width="10.7109375" style="15" customWidth="1"/>
    <col min="11012" max="11012" width="9.140625" style="15"/>
    <col min="11013" max="11014" width="11.5703125" style="15" customWidth="1"/>
    <col min="11015" max="11015" width="8.28515625" style="15" customWidth="1"/>
    <col min="11016" max="11016" width="10.28515625" style="15" customWidth="1"/>
    <col min="11017" max="11017" width="3" style="15" customWidth="1"/>
    <col min="11018" max="11018" width="2.7109375" style="15" customWidth="1"/>
    <col min="11019" max="11019" width="3.28515625" style="15" customWidth="1"/>
    <col min="11020" max="11020" width="2.7109375" style="15" customWidth="1"/>
    <col min="11021" max="11021" width="7.28515625" style="15" customWidth="1"/>
    <col min="11022" max="11022" width="5" style="15" customWidth="1"/>
    <col min="11023" max="11023" width="33.7109375" style="15" customWidth="1"/>
    <col min="11024" max="11024" width="7.7109375" style="15" customWidth="1"/>
    <col min="11025" max="11025" width="0" style="15" hidden="1" customWidth="1"/>
    <col min="11026" max="11026" width="8.140625" style="15" customWidth="1"/>
    <col min="11027" max="11027" width="3.7109375" style="15" customWidth="1"/>
    <col min="11028" max="11028" width="7.7109375" style="15" customWidth="1"/>
    <col min="11029" max="11029" width="0" style="15" hidden="1" customWidth="1"/>
    <col min="11030" max="11030" width="7.7109375" style="15" customWidth="1"/>
    <col min="11031" max="11031" width="2.7109375" style="15" customWidth="1"/>
    <col min="11032" max="11032" width="1.28515625" style="15" customWidth="1"/>
    <col min="11033" max="11262" width="9.140625" style="15"/>
    <col min="11263" max="11263" width="1.28515625" style="15" customWidth="1"/>
    <col min="11264" max="11264" width="2.7109375" style="15" customWidth="1"/>
    <col min="11265" max="11265" width="12.28515625" style="15" customWidth="1"/>
    <col min="11266" max="11266" width="8.85546875" style="15" customWidth="1"/>
    <col min="11267" max="11267" width="10.7109375" style="15" customWidth="1"/>
    <col min="11268" max="11268" width="9.140625" style="15"/>
    <col min="11269" max="11270" width="11.5703125" style="15" customWidth="1"/>
    <col min="11271" max="11271" width="8.28515625" style="15" customWidth="1"/>
    <col min="11272" max="11272" width="10.28515625" style="15" customWidth="1"/>
    <col min="11273" max="11273" width="3" style="15" customWidth="1"/>
    <col min="11274" max="11274" width="2.7109375" style="15" customWidth="1"/>
    <col min="11275" max="11275" width="3.28515625" style="15" customWidth="1"/>
    <col min="11276" max="11276" width="2.7109375" style="15" customWidth="1"/>
    <col min="11277" max="11277" width="7.28515625" style="15" customWidth="1"/>
    <col min="11278" max="11278" width="5" style="15" customWidth="1"/>
    <col min="11279" max="11279" width="33.7109375" style="15" customWidth="1"/>
    <col min="11280" max="11280" width="7.7109375" style="15" customWidth="1"/>
    <col min="11281" max="11281" width="0" style="15" hidden="1" customWidth="1"/>
    <col min="11282" max="11282" width="8.140625" style="15" customWidth="1"/>
    <col min="11283" max="11283" width="3.7109375" style="15" customWidth="1"/>
    <col min="11284" max="11284" width="7.7109375" style="15" customWidth="1"/>
    <col min="11285" max="11285" width="0" style="15" hidden="1" customWidth="1"/>
    <col min="11286" max="11286" width="7.7109375" style="15" customWidth="1"/>
    <col min="11287" max="11287" width="2.7109375" style="15" customWidth="1"/>
    <col min="11288" max="11288" width="1.28515625" style="15" customWidth="1"/>
    <col min="11289" max="11518" width="9.140625" style="15"/>
    <col min="11519" max="11519" width="1.28515625" style="15" customWidth="1"/>
    <col min="11520" max="11520" width="2.7109375" style="15" customWidth="1"/>
    <col min="11521" max="11521" width="12.28515625" style="15" customWidth="1"/>
    <col min="11522" max="11522" width="8.85546875" style="15" customWidth="1"/>
    <col min="11523" max="11523" width="10.7109375" style="15" customWidth="1"/>
    <col min="11524" max="11524" width="9.140625" style="15"/>
    <col min="11525" max="11526" width="11.5703125" style="15" customWidth="1"/>
    <col min="11527" max="11527" width="8.28515625" style="15" customWidth="1"/>
    <col min="11528" max="11528" width="10.28515625" style="15" customWidth="1"/>
    <col min="11529" max="11529" width="3" style="15" customWidth="1"/>
    <col min="11530" max="11530" width="2.7109375" style="15" customWidth="1"/>
    <col min="11531" max="11531" width="3.28515625" style="15" customWidth="1"/>
    <col min="11532" max="11532" width="2.7109375" style="15" customWidth="1"/>
    <col min="11533" max="11533" width="7.28515625" style="15" customWidth="1"/>
    <col min="11534" max="11534" width="5" style="15" customWidth="1"/>
    <col min="11535" max="11535" width="33.7109375" style="15" customWidth="1"/>
    <col min="11536" max="11536" width="7.7109375" style="15" customWidth="1"/>
    <col min="11537" max="11537" width="0" style="15" hidden="1" customWidth="1"/>
    <col min="11538" max="11538" width="8.140625" style="15" customWidth="1"/>
    <col min="11539" max="11539" width="3.7109375" style="15" customWidth="1"/>
    <col min="11540" max="11540" width="7.7109375" style="15" customWidth="1"/>
    <col min="11541" max="11541" width="0" style="15" hidden="1" customWidth="1"/>
    <col min="11542" max="11542" width="7.7109375" style="15" customWidth="1"/>
    <col min="11543" max="11543" width="2.7109375" style="15" customWidth="1"/>
    <col min="11544" max="11544" width="1.28515625" style="15" customWidth="1"/>
    <col min="11545" max="11774" width="9.140625" style="15"/>
    <col min="11775" max="11775" width="1.28515625" style="15" customWidth="1"/>
    <col min="11776" max="11776" width="2.7109375" style="15" customWidth="1"/>
    <col min="11777" max="11777" width="12.28515625" style="15" customWidth="1"/>
    <col min="11778" max="11778" width="8.85546875" style="15" customWidth="1"/>
    <col min="11779" max="11779" width="10.7109375" style="15" customWidth="1"/>
    <col min="11780" max="11780" width="9.140625" style="15"/>
    <col min="11781" max="11782" width="11.5703125" style="15" customWidth="1"/>
    <col min="11783" max="11783" width="8.28515625" style="15" customWidth="1"/>
    <col min="11784" max="11784" width="10.28515625" style="15" customWidth="1"/>
    <col min="11785" max="11785" width="3" style="15" customWidth="1"/>
    <col min="11786" max="11786" width="2.7109375" style="15" customWidth="1"/>
    <col min="11787" max="11787" width="3.28515625" style="15" customWidth="1"/>
    <col min="11788" max="11788" width="2.7109375" style="15" customWidth="1"/>
    <col min="11789" max="11789" width="7.28515625" style="15" customWidth="1"/>
    <col min="11790" max="11790" width="5" style="15" customWidth="1"/>
    <col min="11791" max="11791" width="33.7109375" style="15" customWidth="1"/>
    <col min="11792" max="11792" width="7.7109375" style="15" customWidth="1"/>
    <col min="11793" max="11793" width="0" style="15" hidden="1" customWidth="1"/>
    <col min="11794" max="11794" width="8.140625" style="15" customWidth="1"/>
    <col min="11795" max="11795" width="3.7109375" style="15" customWidth="1"/>
    <col min="11796" max="11796" width="7.7109375" style="15" customWidth="1"/>
    <col min="11797" max="11797" width="0" style="15" hidden="1" customWidth="1"/>
    <col min="11798" max="11798" width="7.7109375" style="15" customWidth="1"/>
    <col min="11799" max="11799" width="2.7109375" style="15" customWidth="1"/>
    <col min="11800" max="11800" width="1.28515625" style="15" customWidth="1"/>
    <col min="11801" max="12030" width="9.140625" style="15"/>
    <col min="12031" max="12031" width="1.28515625" style="15" customWidth="1"/>
    <col min="12032" max="12032" width="2.7109375" style="15" customWidth="1"/>
    <col min="12033" max="12033" width="12.28515625" style="15" customWidth="1"/>
    <col min="12034" max="12034" width="8.85546875" style="15" customWidth="1"/>
    <col min="12035" max="12035" width="10.7109375" style="15" customWidth="1"/>
    <col min="12036" max="12036" width="9.140625" style="15"/>
    <col min="12037" max="12038" width="11.5703125" style="15" customWidth="1"/>
    <col min="12039" max="12039" width="8.28515625" style="15" customWidth="1"/>
    <col min="12040" max="12040" width="10.28515625" style="15" customWidth="1"/>
    <col min="12041" max="12041" width="3" style="15" customWidth="1"/>
    <col min="12042" max="12042" width="2.7109375" style="15" customWidth="1"/>
    <col min="12043" max="12043" width="3.28515625" style="15" customWidth="1"/>
    <col min="12044" max="12044" width="2.7109375" style="15" customWidth="1"/>
    <col min="12045" max="12045" width="7.28515625" style="15" customWidth="1"/>
    <col min="12046" max="12046" width="5" style="15" customWidth="1"/>
    <col min="12047" max="12047" width="33.7109375" style="15" customWidth="1"/>
    <col min="12048" max="12048" width="7.7109375" style="15" customWidth="1"/>
    <col min="12049" max="12049" width="0" style="15" hidden="1" customWidth="1"/>
    <col min="12050" max="12050" width="8.140625" style="15" customWidth="1"/>
    <col min="12051" max="12051" width="3.7109375" style="15" customWidth="1"/>
    <col min="12052" max="12052" width="7.7109375" style="15" customWidth="1"/>
    <col min="12053" max="12053" width="0" style="15" hidden="1" customWidth="1"/>
    <col min="12054" max="12054" width="7.7109375" style="15" customWidth="1"/>
    <col min="12055" max="12055" width="2.7109375" style="15" customWidth="1"/>
    <col min="12056" max="12056" width="1.28515625" style="15" customWidth="1"/>
    <col min="12057" max="12286" width="9.140625" style="15"/>
    <col min="12287" max="12287" width="1.28515625" style="15" customWidth="1"/>
    <col min="12288" max="12288" width="2.7109375" style="15" customWidth="1"/>
    <col min="12289" max="12289" width="12.28515625" style="15" customWidth="1"/>
    <col min="12290" max="12290" width="8.85546875" style="15" customWidth="1"/>
    <col min="12291" max="12291" width="10.7109375" style="15" customWidth="1"/>
    <col min="12292" max="12292" width="9.140625" style="15"/>
    <col min="12293" max="12294" width="11.5703125" style="15" customWidth="1"/>
    <col min="12295" max="12295" width="8.28515625" style="15" customWidth="1"/>
    <col min="12296" max="12296" width="10.28515625" style="15" customWidth="1"/>
    <col min="12297" max="12297" width="3" style="15" customWidth="1"/>
    <col min="12298" max="12298" width="2.7109375" style="15" customWidth="1"/>
    <col min="12299" max="12299" width="3.28515625" style="15" customWidth="1"/>
    <col min="12300" max="12300" width="2.7109375" style="15" customWidth="1"/>
    <col min="12301" max="12301" width="7.28515625" style="15" customWidth="1"/>
    <col min="12302" max="12302" width="5" style="15" customWidth="1"/>
    <col min="12303" max="12303" width="33.7109375" style="15" customWidth="1"/>
    <col min="12304" max="12304" width="7.7109375" style="15" customWidth="1"/>
    <col min="12305" max="12305" width="0" style="15" hidden="1" customWidth="1"/>
    <col min="12306" max="12306" width="8.140625" style="15" customWidth="1"/>
    <col min="12307" max="12307" width="3.7109375" style="15" customWidth="1"/>
    <col min="12308" max="12308" width="7.7109375" style="15" customWidth="1"/>
    <col min="12309" max="12309" width="0" style="15" hidden="1" customWidth="1"/>
    <col min="12310" max="12310" width="7.7109375" style="15" customWidth="1"/>
    <col min="12311" max="12311" width="2.7109375" style="15" customWidth="1"/>
    <col min="12312" max="12312" width="1.28515625" style="15" customWidth="1"/>
    <col min="12313" max="12542" width="9.140625" style="15"/>
    <col min="12543" max="12543" width="1.28515625" style="15" customWidth="1"/>
    <col min="12544" max="12544" width="2.7109375" style="15" customWidth="1"/>
    <col min="12545" max="12545" width="12.28515625" style="15" customWidth="1"/>
    <col min="12546" max="12546" width="8.85546875" style="15" customWidth="1"/>
    <col min="12547" max="12547" width="10.7109375" style="15" customWidth="1"/>
    <col min="12548" max="12548" width="9.140625" style="15"/>
    <col min="12549" max="12550" width="11.5703125" style="15" customWidth="1"/>
    <col min="12551" max="12551" width="8.28515625" style="15" customWidth="1"/>
    <col min="12552" max="12552" width="10.28515625" style="15" customWidth="1"/>
    <col min="12553" max="12553" width="3" style="15" customWidth="1"/>
    <col min="12554" max="12554" width="2.7109375" style="15" customWidth="1"/>
    <col min="12555" max="12555" width="3.28515625" style="15" customWidth="1"/>
    <col min="12556" max="12556" width="2.7109375" style="15" customWidth="1"/>
    <col min="12557" max="12557" width="7.28515625" style="15" customWidth="1"/>
    <col min="12558" max="12558" width="5" style="15" customWidth="1"/>
    <col min="12559" max="12559" width="33.7109375" style="15" customWidth="1"/>
    <col min="12560" max="12560" width="7.7109375" style="15" customWidth="1"/>
    <col min="12561" max="12561" width="0" style="15" hidden="1" customWidth="1"/>
    <col min="12562" max="12562" width="8.140625" style="15" customWidth="1"/>
    <col min="12563" max="12563" width="3.7109375" style="15" customWidth="1"/>
    <col min="12564" max="12564" width="7.7109375" style="15" customWidth="1"/>
    <col min="12565" max="12565" width="0" style="15" hidden="1" customWidth="1"/>
    <col min="12566" max="12566" width="7.7109375" style="15" customWidth="1"/>
    <col min="12567" max="12567" width="2.7109375" style="15" customWidth="1"/>
    <col min="12568" max="12568" width="1.28515625" style="15" customWidth="1"/>
    <col min="12569" max="12798" width="9.140625" style="15"/>
    <col min="12799" max="12799" width="1.28515625" style="15" customWidth="1"/>
    <col min="12800" max="12800" width="2.7109375" style="15" customWidth="1"/>
    <col min="12801" max="12801" width="12.28515625" style="15" customWidth="1"/>
    <col min="12802" max="12802" width="8.85546875" style="15" customWidth="1"/>
    <col min="12803" max="12803" width="10.7109375" style="15" customWidth="1"/>
    <col min="12804" max="12804" width="9.140625" style="15"/>
    <col min="12805" max="12806" width="11.5703125" style="15" customWidth="1"/>
    <col min="12807" max="12807" width="8.28515625" style="15" customWidth="1"/>
    <col min="12808" max="12808" width="10.28515625" style="15" customWidth="1"/>
    <col min="12809" max="12809" width="3" style="15" customWidth="1"/>
    <col min="12810" max="12810" width="2.7109375" style="15" customWidth="1"/>
    <col min="12811" max="12811" width="3.28515625" style="15" customWidth="1"/>
    <col min="12812" max="12812" width="2.7109375" style="15" customWidth="1"/>
    <col min="12813" max="12813" width="7.28515625" style="15" customWidth="1"/>
    <col min="12814" max="12814" width="5" style="15" customWidth="1"/>
    <col min="12815" max="12815" width="33.7109375" style="15" customWidth="1"/>
    <col min="12816" max="12816" width="7.7109375" style="15" customWidth="1"/>
    <col min="12817" max="12817" width="0" style="15" hidden="1" customWidth="1"/>
    <col min="12818" max="12818" width="8.140625" style="15" customWidth="1"/>
    <col min="12819" max="12819" width="3.7109375" style="15" customWidth="1"/>
    <col min="12820" max="12820" width="7.7109375" style="15" customWidth="1"/>
    <col min="12821" max="12821" width="0" style="15" hidden="1" customWidth="1"/>
    <col min="12822" max="12822" width="7.7109375" style="15" customWidth="1"/>
    <col min="12823" max="12823" width="2.7109375" style="15" customWidth="1"/>
    <col min="12824" max="12824" width="1.28515625" style="15" customWidth="1"/>
    <col min="12825" max="13054" width="9.140625" style="15"/>
    <col min="13055" max="13055" width="1.28515625" style="15" customWidth="1"/>
    <col min="13056" max="13056" width="2.7109375" style="15" customWidth="1"/>
    <col min="13057" max="13057" width="12.28515625" style="15" customWidth="1"/>
    <col min="13058" max="13058" width="8.85546875" style="15" customWidth="1"/>
    <col min="13059" max="13059" width="10.7109375" style="15" customWidth="1"/>
    <col min="13060" max="13060" width="9.140625" style="15"/>
    <col min="13061" max="13062" width="11.5703125" style="15" customWidth="1"/>
    <col min="13063" max="13063" width="8.28515625" style="15" customWidth="1"/>
    <col min="13064" max="13064" width="10.28515625" style="15" customWidth="1"/>
    <col min="13065" max="13065" width="3" style="15" customWidth="1"/>
    <col min="13066" max="13066" width="2.7109375" style="15" customWidth="1"/>
    <col min="13067" max="13067" width="3.28515625" style="15" customWidth="1"/>
    <col min="13068" max="13068" width="2.7109375" style="15" customWidth="1"/>
    <col min="13069" max="13069" width="7.28515625" style="15" customWidth="1"/>
    <col min="13070" max="13070" width="5" style="15" customWidth="1"/>
    <col min="13071" max="13071" width="33.7109375" style="15" customWidth="1"/>
    <col min="13072" max="13072" width="7.7109375" style="15" customWidth="1"/>
    <col min="13073" max="13073" width="0" style="15" hidden="1" customWidth="1"/>
    <col min="13074" max="13074" width="8.140625" style="15" customWidth="1"/>
    <col min="13075" max="13075" width="3.7109375" style="15" customWidth="1"/>
    <col min="13076" max="13076" width="7.7109375" style="15" customWidth="1"/>
    <col min="13077" max="13077" width="0" style="15" hidden="1" customWidth="1"/>
    <col min="13078" max="13078" width="7.7109375" style="15" customWidth="1"/>
    <col min="13079" max="13079" width="2.7109375" style="15" customWidth="1"/>
    <col min="13080" max="13080" width="1.28515625" style="15" customWidth="1"/>
    <col min="13081" max="13310" width="9.140625" style="15"/>
    <col min="13311" max="13311" width="1.28515625" style="15" customWidth="1"/>
    <col min="13312" max="13312" width="2.7109375" style="15" customWidth="1"/>
    <col min="13313" max="13313" width="12.28515625" style="15" customWidth="1"/>
    <col min="13314" max="13314" width="8.85546875" style="15" customWidth="1"/>
    <col min="13315" max="13315" width="10.7109375" style="15" customWidth="1"/>
    <col min="13316" max="13316" width="9.140625" style="15"/>
    <col min="13317" max="13318" width="11.5703125" style="15" customWidth="1"/>
    <col min="13319" max="13319" width="8.28515625" style="15" customWidth="1"/>
    <col min="13320" max="13320" width="10.28515625" style="15" customWidth="1"/>
    <col min="13321" max="13321" width="3" style="15" customWidth="1"/>
    <col min="13322" max="13322" width="2.7109375" style="15" customWidth="1"/>
    <col min="13323" max="13323" width="3.28515625" style="15" customWidth="1"/>
    <col min="13324" max="13324" width="2.7109375" style="15" customWidth="1"/>
    <col min="13325" max="13325" width="7.28515625" style="15" customWidth="1"/>
    <col min="13326" max="13326" width="5" style="15" customWidth="1"/>
    <col min="13327" max="13327" width="33.7109375" style="15" customWidth="1"/>
    <col min="13328" max="13328" width="7.7109375" style="15" customWidth="1"/>
    <col min="13329" max="13329" width="0" style="15" hidden="1" customWidth="1"/>
    <col min="13330" max="13330" width="8.140625" style="15" customWidth="1"/>
    <col min="13331" max="13331" width="3.7109375" style="15" customWidth="1"/>
    <col min="13332" max="13332" width="7.7109375" style="15" customWidth="1"/>
    <col min="13333" max="13333" width="0" style="15" hidden="1" customWidth="1"/>
    <col min="13334" max="13334" width="7.7109375" style="15" customWidth="1"/>
    <col min="13335" max="13335" width="2.7109375" style="15" customWidth="1"/>
    <col min="13336" max="13336" width="1.28515625" style="15" customWidth="1"/>
    <col min="13337" max="13566" width="9.140625" style="15"/>
    <col min="13567" max="13567" width="1.28515625" style="15" customWidth="1"/>
    <col min="13568" max="13568" width="2.7109375" style="15" customWidth="1"/>
    <col min="13569" max="13569" width="12.28515625" style="15" customWidth="1"/>
    <col min="13570" max="13570" width="8.85546875" style="15" customWidth="1"/>
    <col min="13571" max="13571" width="10.7109375" style="15" customWidth="1"/>
    <col min="13572" max="13572" width="9.140625" style="15"/>
    <col min="13573" max="13574" width="11.5703125" style="15" customWidth="1"/>
    <col min="13575" max="13575" width="8.28515625" style="15" customWidth="1"/>
    <col min="13576" max="13576" width="10.28515625" style="15" customWidth="1"/>
    <col min="13577" max="13577" width="3" style="15" customWidth="1"/>
    <col min="13578" max="13578" width="2.7109375" style="15" customWidth="1"/>
    <col min="13579" max="13579" width="3.28515625" style="15" customWidth="1"/>
    <col min="13580" max="13580" width="2.7109375" style="15" customWidth="1"/>
    <col min="13581" max="13581" width="7.28515625" style="15" customWidth="1"/>
    <col min="13582" max="13582" width="5" style="15" customWidth="1"/>
    <col min="13583" max="13583" width="33.7109375" style="15" customWidth="1"/>
    <col min="13584" max="13584" width="7.7109375" style="15" customWidth="1"/>
    <col min="13585" max="13585" width="0" style="15" hidden="1" customWidth="1"/>
    <col min="13586" max="13586" width="8.140625" style="15" customWidth="1"/>
    <col min="13587" max="13587" width="3.7109375" style="15" customWidth="1"/>
    <col min="13588" max="13588" width="7.7109375" style="15" customWidth="1"/>
    <col min="13589" max="13589" width="0" style="15" hidden="1" customWidth="1"/>
    <col min="13590" max="13590" width="7.7109375" style="15" customWidth="1"/>
    <col min="13591" max="13591" width="2.7109375" style="15" customWidth="1"/>
    <col min="13592" max="13592" width="1.28515625" style="15" customWidth="1"/>
    <col min="13593" max="13822" width="9.140625" style="15"/>
    <col min="13823" max="13823" width="1.28515625" style="15" customWidth="1"/>
    <col min="13824" max="13824" width="2.7109375" style="15" customWidth="1"/>
    <col min="13825" max="13825" width="12.28515625" style="15" customWidth="1"/>
    <col min="13826" max="13826" width="8.85546875" style="15" customWidth="1"/>
    <col min="13827" max="13827" width="10.7109375" style="15" customWidth="1"/>
    <col min="13828" max="13828" width="9.140625" style="15"/>
    <col min="13829" max="13830" width="11.5703125" style="15" customWidth="1"/>
    <col min="13831" max="13831" width="8.28515625" style="15" customWidth="1"/>
    <col min="13832" max="13832" width="10.28515625" style="15" customWidth="1"/>
    <col min="13833" max="13833" width="3" style="15" customWidth="1"/>
    <col min="13834" max="13834" width="2.7109375" style="15" customWidth="1"/>
    <col min="13835" max="13835" width="3.28515625" style="15" customWidth="1"/>
    <col min="13836" max="13836" width="2.7109375" style="15" customWidth="1"/>
    <col min="13837" max="13837" width="7.28515625" style="15" customWidth="1"/>
    <col min="13838" max="13838" width="5" style="15" customWidth="1"/>
    <col min="13839" max="13839" width="33.7109375" style="15" customWidth="1"/>
    <col min="13840" max="13840" width="7.7109375" style="15" customWidth="1"/>
    <col min="13841" max="13841" width="0" style="15" hidden="1" customWidth="1"/>
    <col min="13842" max="13842" width="8.140625" style="15" customWidth="1"/>
    <col min="13843" max="13843" width="3.7109375" style="15" customWidth="1"/>
    <col min="13844" max="13844" width="7.7109375" style="15" customWidth="1"/>
    <col min="13845" max="13845" width="0" style="15" hidden="1" customWidth="1"/>
    <col min="13846" max="13846" width="7.7109375" style="15" customWidth="1"/>
    <col min="13847" max="13847" width="2.7109375" style="15" customWidth="1"/>
    <col min="13848" max="13848" width="1.28515625" style="15" customWidth="1"/>
    <col min="13849" max="14078" width="9.140625" style="15"/>
    <col min="14079" max="14079" width="1.28515625" style="15" customWidth="1"/>
    <col min="14080" max="14080" width="2.7109375" style="15" customWidth="1"/>
    <col min="14081" max="14081" width="12.28515625" style="15" customWidth="1"/>
    <col min="14082" max="14082" width="8.85546875" style="15" customWidth="1"/>
    <col min="14083" max="14083" width="10.7109375" style="15" customWidth="1"/>
    <col min="14084" max="14084" width="9.140625" style="15"/>
    <col min="14085" max="14086" width="11.5703125" style="15" customWidth="1"/>
    <col min="14087" max="14087" width="8.28515625" style="15" customWidth="1"/>
    <col min="14088" max="14088" width="10.28515625" style="15" customWidth="1"/>
    <col min="14089" max="14089" width="3" style="15" customWidth="1"/>
    <col min="14090" max="14090" width="2.7109375" style="15" customWidth="1"/>
    <col min="14091" max="14091" width="3.28515625" style="15" customWidth="1"/>
    <col min="14092" max="14092" width="2.7109375" style="15" customWidth="1"/>
    <col min="14093" max="14093" width="7.28515625" style="15" customWidth="1"/>
    <col min="14094" max="14094" width="5" style="15" customWidth="1"/>
    <col min="14095" max="14095" width="33.7109375" style="15" customWidth="1"/>
    <col min="14096" max="14096" width="7.7109375" style="15" customWidth="1"/>
    <col min="14097" max="14097" width="0" style="15" hidden="1" customWidth="1"/>
    <col min="14098" max="14098" width="8.140625" style="15" customWidth="1"/>
    <col min="14099" max="14099" width="3.7109375" style="15" customWidth="1"/>
    <col min="14100" max="14100" width="7.7109375" style="15" customWidth="1"/>
    <col min="14101" max="14101" width="0" style="15" hidden="1" customWidth="1"/>
    <col min="14102" max="14102" width="7.7109375" style="15" customWidth="1"/>
    <col min="14103" max="14103" width="2.7109375" style="15" customWidth="1"/>
    <col min="14104" max="14104" width="1.28515625" style="15" customWidth="1"/>
    <col min="14105" max="14334" width="9.140625" style="15"/>
    <col min="14335" max="14335" width="1.28515625" style="15" customWidth="1"/>
    <col min="14336" max="14336" width="2.7109375" style="15" customWidth="1"/>
    <col min="14337" max="14337" width="12.28515625" style="15" customWidth="1"/>
    <col min="14338" max="14338" width="8.85546875" style="15" customWidth="1"/>
    <col min="14339" max="14339" width="10.7109375" style="15" customWidth="1"/>
    <col min="14340" max="14340" width="9.140625" style="15"/>
    <col min="14341" max="14342" width="11.5703125" style="15" customWidth="1"/>
    <col min="14343" max="14343" width="8.28515625" style="15" customWidth="1"/>
    <col min="14344" max="14344" width="10.28515625" style="15" customWidth="1"/>
    <col min="14345" max="14345" width="3" style="15" customWidth="1"/>
    <col min="14346" max="14346" width="2.7109375" style="15" customWidth="1"/>
    <col min="14347" max="14347" width="3.28515625" style="15" customWidth="1"/>
    <col min="14348" max="14348" width="2.7109375" style="15" customWidth="1"/>
    <col min="14349" max="14349" width="7.28515625" style="15" customWidth="1"/>
    <col min="14350" max="14350" width="5" style="15" customWidth="1"/>
    <col min="14351" max="14351" width="33.7109375" style="15" customWidth="1"/>
    <col min="14352" max="14352" width="7.7109375" style="15" customWidth="1"/>
    <col min="14353" max="14353" width="0" style="15" hidden="1" customWidth="1"/>
    <col min="14354" max="14354" width="8.140625" style="15" customWidth="1"/>
    <col min="14355" max="14355" width="3.7109375" style="15" customWidth="1"/>
    <col min="14356" max="14356" width="7.7109375" style="15" customWidth="1"/>
    <col min="14357" max="14357" width="0" style="15" hidden="1" customWidth="1"/>
    <col min="14358" max="14358" width="7.7109375" style="15" customWidth="1"/>
    <col min="14359" max="14359" width="2.7109375" style="15" customWidth="1"/>
    <col min="14360" max="14360" width="1.28515625" style="15" customWidth="1"/>
    <col min="14361" max="14590" width="9.140625" style="15"/>
    <col min="14591" max="14591" width="1.28515625" style="15" customWidth="1"/>
    <col min="14592" max="14592" width="2.7109375" style="15" customWidth="1"/>
    <col min="14593" max="14593" width="12.28515625" style="15" customWidth="1"/>
    <col min="14594" max="14594" width="8.85546875" style="15" customWidth="1"/>
    <col min="14595" max="14595" width="10.7109375" style="15" customWidth="1"/>
    <col min="14596" max="14596" width="9.140625" style="15"/>
    <col min="14597" max="14598" width="11.5703125" style="15" customWidth="1"/>
    <col min="14599" max="14599" width="8.28515625" style="15" customWidth="1"/>
    <col min="14600" max="14600" width="10.28515625" style="15" customWidth="1"/>
    <col min="14601" max="14601" width="3" style="15" customWidth="1"/>
    <col min="14602" max="14602" width="2.7109375" style="15" customWidth="1"/>
    <col min="14603" max="14603" width="3.28515625" style="15" customWidth="1"/>
    <col min="14604" max="14604" width="2.7109375" style="15" customWidth="1"/>
    <col min="14605" max="14605" width="7.28515625" style="15" customWidth="1"/>
    <col min="14606" max="14606" width="5" style="15" customWidth="1"/>
    <col min="14607" max="14607" width="33.7109375" style="15" customWidth="1"/>
    <col min="14608" max="14608" width="7.7109375" style="15" customWidth="1"/>
    <col min="14609" max="14609" width="0" style="15" hidden="1" customWidth="1"/>
    <col min="14610" max="14610" width="8.140625" style="15" customWidth="1"/>
    <col min="14611" max="14611" width="3.7109375" style="15" customWidth="1"/>
    <col min="14612" max="14612" width="7.7109375" style="15" customWidth="1"/>
    <col min="14613" max="14613" width="0" style="15" hidden="1" customWidth="1"/>
    <col min="14614" max="14614" width="7.7109375" style="15" customWidth="1"/>
    <col min="14615" max="14615" width="2.7109375" style="15" customWidth="1"/>
    <col min="14616" max="14616" width="1.28515625" style="15" customWidth="1"/>
    <col min="14617" max="14846" width="9.140625" style="15"/>
    <col min="14847" max="14847" width="1.28515625" style="15" customWidth="1"/>
    <col min="14848" max="14848" width="2.7109375" style="15" customWidth="1"/>
    <col min="14849" max="14849" width="12.28515625" style="15" customWidth="1"/>
    <col min="14850" max="14850" width="8.85546875" style="15" customWidth="1"/>
    <col min="14851" max="14851" width="10.7109375" style="15" customWidth="1"/>
    <col min="14852" max="14852" width="9.140625" style="15"/>
    <col min="14853" max="14854" width="11.5703125" style="15" customWidth="1"/>
    <col min="14855" max="14855" width="8.28515625" style="15" customWidth="1"/>
    <col min="14856" max="14856" width="10.28515625" style="15" customWidth="1"/>
    <col min="14857" max="14857" width="3" style="15" customWidth="1"/>
    <col min="14858" max="14858" width="2.7109375" style="15" customWidth="1"/>
    <col min="14859" max="14859" width="3.28515625" style="15" customWidth="1"/>
    <col min="14860" max="14860" width="2.7109375" style="15" customWidth="1"/>
    <col min="14861" max="14861" width="7.28515625" style="15" customWidth="1"/>
    <col min="14862" max="14862" width="5" style="15" customWidth="1"/>
    <col min="14863" max="14863" width="33.7109375" style="15" customWidth="1"/>
    <col min="14864" max="14864" width="7.7109375" style="15" customWidth="1"/>
    <col min="14865" max="14865" width="0" style="15" hidden="1" customWidth="1"/>
    <col min="14866" max="14866" width="8.140625" style="15" customWidth="1"/>
    <col min="14867" max="14867" width="3.7109375" style="15" customWidth="1"/>
    <col min="14868" max="14868" width="7.7109375" style="15" customWidth="1"/>
    <col min="14869" max="14869" width="0" style="15" hidden="1" customWidth="1"/>
    <col min="14870" max="14870" width="7.7109375" style="15" customWidth="1"/>
    <col min="14871" max="14871" width="2.7109375" style="15" customWidth="1"/>
    <col min="14872" max="14872" width="1.28515625" style="15" customWidth="1"/>
    <col min="14873" max="15102" width="9.140625" style="15"/>
    <col min="15103" max="15103" width="1.28515625" style="15" customWidth="1"/>
    <col min="15104" max="15104" width="2.7109375" style="15" customWidth="1"/>
    <col min="15105" max="15105" width="12.28515625" style="15" customWidth="1"/>
    <col min="15106" max="15106" width="8.85546875" style="15" customWidth="1"/>
    <col min="15107" max="15107" width="10.7109375" style="15" customWidth="1"/>
    <col min="15108" max="15108" width="9.140625" style="15"/>
    <col min="15109" max="15110" width="11.5703125" style="15" customWidth="1"/>
    <col min="15111" max="15111" width="8.28515625" style="15" customWidth="1"/>
    <col min="15112" max="15112" width="10.28515625" style="15" customWidth="1"/>
    <col min="15113" max="15113" width="3" style="15" customWidth="1"/>
    <col min="15114" max="15114" width="2.7109375" style="15" customWidth="1"/>
    <col min="15115" max="15115" width="3.28515625" style="15" customWidth="1"/>
    <col min="15116" max="15116" width="2.7109375" style="15" customWidth="1"/>
    <col min="15117" max="15117" width="7.28515625" style="15" customWidth="1"/>
    <col min="15118" max="15118" width="5" style="15" customWidth="1"/>
    <col min="15119" max="15119" width="33.7109375" style="15" customWidth="1"/>
    <col min="15120" max="15120" width="7.7109375" style="15" customWidth="1"/>
    <col min="15121" max="15121" width="0" style="15" hidden="1" customWidth="1"/>
    <col min="15122" max="15122" width="8.140625" style="15" customWidth="1"/>
    <col min="15123" max="15123" width="3.7109375" style="15" customWidth="1"/>
    <col min="15124" max="15124" width="7.7109375" style="15" customWidth="1"/>
    <col min="15125" max="15125" width="0" style="15" hidden="1" customWidth="1"/>
    <col min="15126" max="15126" width="7.7109375" style="15" customWidth="1"/>
    <col min="15127" max="15127" width="2.7109375" style="15" customWidth="1"/>
    <col min="15128" max="15128" width="1.28515625" style="15" customWidth="1"/>
    <col min="15129" max="15358" width="9.140625" style="15"/>
    <col min="15359" max="15359" width="1.28515625" style="15" customWidth="1"/>
    <col min="15360" max="15360" width="2.7109375" style="15" customWidth="1"/>
    <col min="15361" max="15361" width="12.28515625" style="15" customWidth="1"/>
    <col min="15362" max="15362" width="8.85546875" style="15" customWidth="1"/>
    <col min="15363" max="15363" width="10.7109375" style="15" customWidth="1"/>
    <col min="15364" max="15364" width="9.140625" style="15"/>
    <col min="15365" max="15366" width="11.5703125" style="15" customWidth="1"/>
    <col min="15367" max="15367" width="8.28515625" style="15" customWidth="1"/>
    <col min="15368" max="15368" width="10.28515625" style="15" customWidth="1"/>
    <col min="15369" max="15369" width="3" style="15" customWidth="1"/>
    <col min="15370" max="15370" width="2.7109375" style="15" customWidth="1"/>
    <col min="15371" max="15371" width="3.28515625" style="15" customWidth="1"/>
    <col min="15372" max="15372" width="2.7109375" style="15" customWidth="1"/>
    <col min="15373" max="15373" width="7.28515625" style="15" customWidth="1"/>
    <col min="15374" max="15374" width="5" style="15" customWidth="1"/>
    <col min="15375" max="15375" width="33.7109375" style="15" customWidth="1"/>
    <col min="15376" max="15376" width="7.7109375" style="15" customWidth="1"/>
    <col min="15377" max="15377" width="0" style="15" hidden="1" customWidth="1"/>
    <col min="15378" max="15378" width="8.140625" style="15" customWidth="1"/>
    <col min="15379" max="15379" width="3.7109375" style="15" customWidth="1"/>
    <col min="15380" max="15380" width="7.7109375" style="15" customWidth="1"/>
    <col min="15381" max="15381" width="0" style="15" hidden="1" customWidth="1"/>
    <col min="15382" max="15382" width="7.7109375" style="15" customWidth="1"/>
    <col min="15383" max="15383" width="2.7109375" style="15" customWidth="1"/>
    <col min="15384" max="15384" width="1.28515625" style="15" customWidth="1"/>
    <col min="15385" max="15614" width="9.140625" style="15"/>
    <col min="15615" max="15615" width="1.28515625" style="15" customWidth="1"/>
    <col min="15616" max="15616" width="2.7109375" style="15" customWidth="1"/>
    <col min="15617" max="15617" width="12.28515625" style="15" customWidth="1"/>
    <col min="15618" max="15618" width="8.85546875" style="15" customWidth="1"/>
    <col min="15619" max="15619" width="10.7109375" style="15" customWidth="1"/>
    <col min="15620" max="15620" width="9.140625" style="15"/>
    <col min="15621" max="15622" width="11.5703125" style="15" customWidth="1"/>
    <col min="15623" max="15623" width="8.28515625" style="15" customWidth="1"/>
    <col min="15624" max="15624" width="10.28515625" style="15" customWidth="1"/>
    <col min="15625" max="15625" width="3" style="15" customWidth="1"/>
    <col min="15626" max="15626" width="2.7109375" style="15" customWidth="1"/>
    <col min="15627" max="15627" width="3.28515625" style="15" customWidth="1"/>
    <col min="15628" max="15628" width="2.7109375" style="15" customWidth="1"/>
    <col min="15629" max="15629" width="7.28515625" style="15" customWidth="1"/>
    <col min="15630" max="15630" width="5" style="15" customWidth="1"/>
    <col min="15631" max="15631" width="33.7109375" style="15" customWidth="1"/>
    <col min="15632" max="15632" width="7.7109375" style="15" customWidth="1"/>
    <col min="15633" max="15633" width="0" style="15" hidden="1" customWidth="1"/>
    <col min="15634" max="15634" width="8.140625" style="15" customWidth="1"/>
    <col min="15635" max="15635" width="3.7109375" style="15" customWidth="1"/>
    <col min="15636" max="15636" width="7.7109375" style="15" customWidth="1"/>
    <col min="15637" max="15637" width="0" style="15" hidden="1" customWidth="1"/>
    <col min="15638" max="15638" width="7.7109375" style="15" customWidth="1"/>
    <col min="15639" max="15639" width="2.7109375" style="15" customWidth="1"/>
    <col min="15640" max="15640" width="1.28515625" style="15" customWidth="1"/>
    <col min="15641" max="15870" width="9.140625" style="15"/>
    <col min="15871" max="15871" width="1.28515625" style="15" customWidth="1"/>
    <col min="15872" max="15872" width="2.7109375" style="15" customWidth="1"/>
    <col min="15873" max="15873" width="12.28515625" style="15" customWidth="1"/>
    <col min="15874" max="15874" width="8.85546875" style="15" customWidth="1"/>
    <col min="15875" max="15875" width="10.7109375" style="15" customWidth="1"/>
    <col min="15876" max="15876" width="9.140625" style="15"/>
    <col min="15877" max="15878" width="11.5703125" style="15" customWidth="1"/>
    <col min="15879" max="15879" width="8.28515625" style="15" customWidth="1"/>
    <col min="15880" max="15880" width="10.28515625" style="15" customWidth="1"/>
    <col min="15881" max="15881" width="3" style="15" customWidth="1"/>
    <col min="15882" max="15882" width="2.7109375" style="15" customWidth="1"/>
    <col min="15883" max="15883" width="3.28515625" style="15" customWidth="1"/>
    <col min="15884" max="15884" width="2.7109375" style="15" customWidth="1"/>
    <col min="15885" max="15885" width="7.28515625" style="15" customWidth="1"/>
    <col min="15886" max="15886" width="5" style="15" customWidth="1"/>
    <col min="15887" max="15887" width="33.7109375" style="15" customWidth="1"/>
    <col min="15888" max="15888" width="7.7109375" style="15" customWidth="1"/>
    <col min="15889" max="15889" width="0" style="15" hidden="1" customWidth="1"/>
    <col min="15890" max="15890" width="8.140625" style="15" customWidth="1"/>
    <col min="15891" max="15891" width="3.7109375" style="15" customWidth="1"/>
    <col min="15892" max="15892" width="7.7109375" style="15" customWidth="1"/>
    <col min="15893" max="15893" width="0" style="15" hidden="1" customWidth="1"/>
    <col min="15894" max="15894" width="7.7109375" style="15" customWidth="1"/>
    <col min="15895" max="15895" width="2.7109375" style="15" customWidth="1"/>
    <col min="15896" max="15896" width="1.28515625" style="15" customWidth="1"/>
    <col min="15897" max="16126" width="9.140625" style="15"/>
    <col min="16127" max="16127" width="1.28515625" style="15" customWidth="1"/>
    <col min="16128" max="16128" width="2.7109375" style="15" customWidth="1"/>
    <col min="16129" max="16129" width="12.28515625" style="15" customWidth="1"/>
    <col min="16130" max="16130" width="8.85546875" style="15" customWidth="1"/>
    <col min="16131" max="16131" width="10.7109375" style="15" customWidth="1"/>
    <col min="16132" max="16132" width="9.140625" style="15"/>
    <col min="16133" max="16134" width="11.5703125" style="15" customWidth="1"/>
    <col min="16135" max="16135" width="8.28515625" style="15" customWidth="1"/>
    <col min="16136" max="16136" width="10.28515625" style="15" customWidth="1"/>
    <col min="16137" max="16137" width="3" style="15" customWidth="1"/>
    <col min="16138" max="16138" width="2.7109375" style="15" customWidth="1"/>
    <col min="16139" max="16139" width="3.28515625" style="15" customWidth="1"/>
    <col min="16140" max="16140" width="2.7109375" style="15" customWidth="1"/>
    <col min="16141" max="16141" width="7.28515625" style="15" customWidth="1"/>
    <col min="16142" max="16142" width="5" style="15" customWidth="1"/>
    <col min="16143" max="16143" width="33.7109375" style="15" customWidth="1"/>
    <col min="16144" max="16144" width="7.7109375" style="15" customWidth="1"/>
    <col min="16145" max="16145" width="0" style="15" hidden="1" customWidth="1"/>
    <col min="16146" max="16146" width="8.140625" style="15" customWidth="1"/>
    <col min="16147" max="16147" width="3.7109375" style="15" customWidth="1"/>
    <col min="16148" max="16148" width="7.7109375" style="15" customWidth="1"/>
    <col min="16149" max="16149" width="0" style="15" hidden="1" customWidth="1"/>
    <col min="16150" max="16150" width="7.7109375" style="15" customWidth="1"/>
    <col min="16151" max="16151" width="2.7109375" style="15" customWidth="1"/>
    <col min="16152" max="16152" width="1.28515625" style="15" customWidth="1"/>
    <col min="16153" max="16384" width="9.140625" style="15"/>
  </cols>
  <sheetData>
    <row r="1" spans="2:27" s="9" customFormat="1" ht="20.25" x14ac:dyDescent="0.3">
      <c r="C1" s="4" t="s">
        <v>25</v>
      </c>
      <c r="D1" s="5"/>
      <c r="E1" s="5"/>
      <c r="F1" s="5"/>
      <c r="G1" s="5"/>
      <c r="H1" s="5"/>
      <c r="I1" s="5"/>
      <c r="J1" s="5"/>
      <c r="K1" s="5"/>
      <c r="L1" s="6"/>
      <c r="M1" s="6"/>
      <c r="N1" s="6"/>
      <c r="O1" s="5"/>
      <c r="P1" s="7"/>
      <c r="Q1" s="5"/>
      <c r="R1" s="5"/>
      <c r="S1" s="8" t="s">
        <v>26</v>
      </c>
      <c r="T1" s="470">
        <v>42185</v>
      </c>
      <c r="U1" s="470"/>
      <c r="V1" s="470"/>
    </row>
    <row r="2" spans="2:27" s="9" customFormat="1" ht="12.75" x14ac:dyDescent="0.2">
      <c r="C2" s="10" t="s">
        <v>27</v>
      </c>
      <c r="D2" s="10"/>
      <c r="E2" s="10"/>
      <c r="F2" s="10"/>
      <c r="G2" s="10"/>
      <c r="H2" s="10"/>
      <c r="I2" s="10"/>
      <c r="J2" s="5"/>
      <c r="K2" s="5"/>
      <c r="L2" s="6"/>
      <c r="M2" s="6"/>
      <c r="N2" s="6"/>
      <c r="P2" s="7"/>
      <c r="Q2" s="5"/>
      <c r="R2" s="5"/>
      <c r="S2" s="11" t="s">
        <v>28</v>
      </c>
      <c r="T2" s="470">
        <v>42186</v>
      </c>
      <c r="U2" s="470"/>
      <c r="V2" s="470"/>
    </row>
    <row r="3" spans="2:27" x14ac:dyDescent="0.2">
      <c r="C3" s="12"/>
      <c r="D3" s="12"/>
      <c r="E3" s="12"/>
      <c r="F3" s="12"/>
      <c r="G3" s="12"/>
      <c r="H3" s="12"/>
      <c r="I3" s="12"/>
      <c r="J3" s="12"/>
      <c r="K3" s="12"/>
      <c r="L3" s="12"/>
      <c r="M3" s="12"/>
      <c r="N3" s="12"/>
      <c r="O3" s="12"/>
      <c r="P3" s="13"/>
      <c r="Q3" s="12"/>
      <c r="R3" s="12"/>
      <c r="S3" s="471"/>
      <c r="T3" s="471"/>
      <c r="U3" s="471"/>
      <c r="V3" s="14"/>
    </row>
    <row r="4" spans="2:27" x14ac:dyDescent="0.2">
      <c r="B4" s="322"/>
      <c r="C4" s="322"/>
      <c r="D4" s="322"/>
      <c r="E4" s="322"/>
      <c r="F4" s="322"/>
      <c r="G4" s="322"/>
      <c r="H4" s="322"/>
      <c r="I4" s="322"/>
      <c r="J4" s="322"/>
      <c r="K4" s="322"/>
      <c r="L4" s="322"/>
      <c r="M4" s="12"/>
      <c r="N4" s="12"/>
    </row>
    <row r="5" spans="2:27" ht="18" x14ac:dyDescent="0.25">
      <c r="B5" s="322"/>
      <c r="C5" s="323" t="s">
        <v>29</v>
      </c>
      <c r="D5" s="322"/>
      <c r="E5" s="322"/>
      <c r="F5" s="322"/>
      <c r="G5" s="324" t="s">
        <v>30</v>
      </c>
      <c r="H5" s="322"/>
      <c r="I5" s="325"/>
      <c r="J5" s="322"/>
      <c r="K5" s="325" t="s">
        <v>31</v>
      </c>
      <c r="L5" s="322"/>
      <c r="M5" s="12"/>
      <c r="N5" s="12"/>
      <c r="O5" s="21" t="s">
        <v>32</v>
      </c>
      <c r="P5" s="22"/>
      <c r="Q5" s="19"/>
      <c r="R5" s="19"/>
      <c r="S5" s="20"/>
      <c r="T5" s="19"/>
      <c r="U5" s="19"/>
      <c r="V5" s="20"/>
    </row>
    <row r="6" spans="2:27" ht="12.75" thickBot="1" x14ac:dyDescent="0.25">
      <c r="B6" s="322"/>
      <c r="C6" s="326"/>
      <c r="D6" s="322"/>
      <c r="E6" s="322"/>
      <c r="F6" s="322"/>
      <c r="G6" s="322"/>
      <c r="H6" s="322"/>
      <c r="I6" s="322"/>
      <c r="J6" s="322"/>
      <c r="K6" s="322"/>
      <c r="L6" s="322"/>
      <c r="M6" s="12"/>
      <c r="N6" s="12"/>
      <c r="R6" s="469" t="s">
        <v>33</v>
      </c>
      <c r="S6" s="469"/>
      <c r="U6" s="469" t="s">
        <v>34</v>
      </c>
      <c r="V6" s="469"/>
    </row>
    <row r="7" spans="2:27" x14ac:dyDescent="0.2">
      <c r="B7" s="322"/>
      <c r="C7" s="327" t="s">
        <v>35</v>
      </c>
      <c r="D7" s="328"/>
      <c r="E7" s="328"/>
      <c r="F7" s="328"/>
      <c r="G7" s="328"/>
      <c r="H7" s="329" t="s">
        <v>192</v>
      </c>
      <c r="I7" s="328"/>
      <c r="J7" s="322"/>
      <c r="K7" s="322"/>
      <c r="L7" s="322"/>
      <c r="M7" s="12"/>
      <c r="N7" s="12"/>
      <c r="O7" s="23" t="s">
        <v>36</v>
      </c>
      <c r="P7" s="13"/>
      <c r="Q7" s="24" t="s">
        <v>37</v>
      </c>
      <c r="R7" s="7" t="s">
        <v>38</v>
      </c>
      <c r="S7" s="7"/>
      <c r="T7" s="23"/>
      <c r="U7" s="7" t="s">
        <v>38</v>
      </c>
      <c r="V7" s="7"/>
    </row>
    <row r="8" spans="2:27" ht="13.5" customHeight="1" thickBot="1" x14ac:dyDescent="0.25">
      <c r="B8" s="322"/>
      <c r="C8" s="464" t="s">
        <v>39</v>
      </c>
      <c r="D8" s="464"/>
      <c r="E8" s="464"/>
      <c r="F8" s="322"/>
      <c r="G8" s="322"/>
      <c r="H8" s="322"/>
      <c r="I8" s="322"/>
      <c r="J8" s="322"/>
      <c r="K8" s="322"/>
      <c r="L8" s="330"/>
      <c r="O8" s="26"/>
      <c r="P8" s="27"/>
      <c r="Q8" s="26"/>
      <c r="R8" s="28" t="s">
        <v>36</v>
      </c>
      <c r="S8" s="28" t="s">
        <v>40</v>
      </c>
      <c r="T8" s="29"/>
      <c r="U8" s="28" t="s">
        <v>36</v>
      </c>
      <c r="V8" s="28" t="s">
        <v>40</v>
      </c>
    </row>
    <row r="9" spans="2:27" ht="12.75" x14ac:dyDescent="0.2">
      <c r="B9" s="322"/>
      <c r="C9" s="464"/>
      <c r="D9" s="464"/>
      <c r="E9" s="464"/>
      <c r="F9" s="322"/>
      <c r="G9" s="331" t="s">
        <v>41</v>
      </c>
      <c r="H9" s="331"/>
      <c r="I9" s="322"/>
      <c r="J9" s="322"/>
      <c r="K9" s="322"/>
      <c r="L9" s="330"/>
      <c r="O9" s="378">
        <v>1</v>
      </c>
      <c r="P9" s="379" t="s">
        <v>12</v>
      </c>
      <c r="Q9" s="380" t="s">
        <v>13</v>
      </c>
      <c r="R9" s="380">
        <v>7903</v>
      </c>
      <c r="S9" s="377">
        <v>0.1135</v>
      </c>
      <c r="T9" s="381"/>
      <c r="U9" s="380">
        <v>7904</v>
      </c>
      <c r="V9" s="377">
        <v>0.1135</v>
      </c>
    </row>
    <row r="10" spans="2:27" ht="12" customHeight="1" x14ac:dyDescent="0.2">
      <c r="B10" s="322"/>
      <c r="C10" s="332"/>
      <c r="D10" s="333" t="s">
        <v>42</v>
      </c>
      <c r="E10" s="88">
        <v>2300</v>
      </c>
      <c r="F10" s="322" t="s">
        <v>43</v>
      </c>
      <c r="G10" s="322"/>
      <c r="H10" s="322"/>
      <c r="I10" s="334"/>
      <c r="J10" s="335">
        <v>0</v>
      </c>
      <c r="K10" s="322"/>
      <c r="L10" s="322"/>
      <c r="M10" s="25"/>
      <c r="N10" s="25"/>
      <c r="O10" s="372" t="s">
        <v>328</v>
      </c>
      <c r="P10" s="373" t="s">
        <v>329</v>
      </c>
      <c r="Q10" s="374" t="s">
        <v>330</v>
      </c>
      <c r="R10" s="374">
        <v>7919</v>
      </c>
      <c r="S10" s="375">
        <v>0.1135</v>
      </c>
      <c r="T10" s="376"/>
      <c r="U10" s="374">
        <v>7920</v>
      </c>
      <c r="V10" s="375">
        <v>0.1135</v>
      </c>
      <c r="W10" s="25"/>
      <c r="Z10" s="25"/>
      <c r="AA10" s="25"/>
    </row>
    <row r="11" spans="2:27" ht="12.75" x14ac:dyDescent="0.2">
      <c r="B11" s="322"/>
      <c r="C11" s="336" t="s">
        <v>44</v>
      </c>
      <c r="D11" s="322"/>
      <c r="E11" s="336" t="s">
        <v>45</v>
      </c>
      <c r="F11" s="322"/>
      <c r="G11" s="322"/>
      <c r="H11" s="322"/>
      <c r="I11" s="322"/>
      <c r="J11" s="337" t="s">
        <v>46</v>
      </c>
      <c r="K11" s="322"/>
      <c r="L11" s="322"/>
      <c r="M11" s="25"/>
      <c r="O11" s="382">
        <v>2</v>
      </c>
      <c r="P11" s="383" t="s">
        <v>14</v>
      </c>
      <c r="Q11" s="384" t="s">
        <v>331</v>
      </c>
      <c r="R11" s="384">
        <v>7905</v>
      </c>
      <c r="S11" s="385">
        <v>8.4099999999999994E-2</v>
      </c>
      <c r="T11" s="386"/>
      <c r="U11" s="384">
        <v>7906</v>
      </c>
      <c r="V11" s="385">
        <v>0.22950000000000001</v>
      </c>
      <c r="W11" s="25"/>
      <c r="Z11" s="25"/>
      <c r="AA11" s="25"/>
    </row>
    <row r="12" spans="2:27" ht="12.75" x14ac:dyDescent="0.2">
      <c r="B12" s="322"/>
      <c r="C12" s="332">
        <f>E10</f>
        <v>2300</v>
      </c>
      <c r="D12" s="338" t="s">
        <v>47</v>
      </c>
      <c r="E12" s="87">
        <v>11525</v>
      </c>
      <c r="F12" s="334"/>
      <c r="G12" s="339"/>
      <c r="H12" s="339"/>
      <c r="I12" s="340">
        <v>0.1</v>
      </c>
      <c r="J12" s="335">
        <f t="shared" ref="J12:J18" si="0">C12</f>
        <v>2300</v>
      </c>
      <c r="K12" s="322"/>
      <c r="L12" s="322"/>
      <c r="M12" s="25"/>
      <c r="O12" s="378">
        <v>3</v>
      </c>
      <c r="P12" s="379" t="s">
        <v>15</v>
      </c>
      <c r="Q12" s="380" t="s">
        <v>332</v>
      </c>
      <c r="R12" s="380">
        <v>7907</v>
      </c>
      <c r="S12" s="377">
        <v>0.13</v>
      </c>
      <c r="T12" s="381"/>
      <c r="U12" s="380">
        <v>7908</v>
      </c>
      <c r="V12" s="377">
        <v>0.23499999999999999</v>
      </c>
    </row>
    <row r="13" spans="2:27" x14ac:dyDescent="0.2">
      <c r="B13" s="322"/>
      <c r="C13" s="332">
        <f>E12</f>
        <v>11525</v>
      </c>
      <c r="D13" s="338" t="s">
        <v>47</v>
      </c>
      <c r="E13" s="87">
        <v>39750</v>
      </c>
      <c r="F13" s="334"/>
      <c r="G13" s="341">
        <f>(E12-C12)*I12</f>
        <v>922.5</v>
      </c>
      <c r="H13" s="338" t="s">
        <v>48</v>
      </c>
      <c r="I13" s="340">
        <v>0.15</v>
      </c>
      <c r="J13" s="335">
        <f t="shared" si="0"/>
        <v>11525</v>
      </c>
      <c r="K13" s="342"/>
      <c r="L13" s="322"/>
      <c r="O13" s="372" t="s">
        <v>333</v>
      </c>
      <c r="P13" s="373" t="s">
        <v>334</v>
      </c>
      <c r="Q13" s="374" t="s">
        <v>335</v>
      </c>
      <c r="R13" s="374">
        <v>7813</v>
      </c>
      <c r="S13" s="375">
        <v>0.08</v>
      </c>
      <c r="T13" s="376"/>
      <c r="U13" s="374">
        <v>7814</v>
      </c>
      <c r="V13" s="375">
        <v>0.06</v>
      </c>
    </row>
    <row r="14" spans="2:27" x14ac:dyDescent="0.2">
      <c r="B14" s="322"/>
      <c r="C14" s="332">
        <f t="shared" ref="C14:C18" si="1">E13</f>
        <v>39750</v>
      </c>
      <c r="D14" s="338" t="s">
        <v>47</v>
      </c>
      <c r="E14" s="87">
        <v>93050</v>
      </c>
      <c r="F14" s="334"/>
      <c r="G14" s="341">
        <f>G13+(E13-C13)*I13</f>
        <v>5156.25</v>
      </c>
      <c r="H14" s="338" t="s">
        <v>48</v>
      </c>
      <c r="I14" s="340">
        <v>0.25</v>
      </c>
      <c r="J14" s="335">
        <f t="shared" si="0"/>
        <v>39750</v>
      </c>
      <c r="K14" s="342"/>
      <c r="L14" s="322"/>
      <c r="O14" s="382">
        <v>4</v>
      </c>
      <c r="P14" s="383" t="s">
        <v>16</v>
      </c>
      <c r="Q14" s="384" t="s">
        <v>336</v>
      </c>
      <c r="R14" s="384">
        <v>7909</v>
      </c>
      <c r="S14" s="385">
        <v>6.6500000000000004E-2</v>
      </c>
      <c r="T14" s="386"/>
      <c r="U14" s="384">
        <v>7910</v>
      </c>
      <c r="V14" s="385">
        <v>0.81</v>
      </c>
    </row>
    <row r="15" spans="2:27" x14ac:dyDescent="0.2">
      <c r="B15" s="322"/>
      <c r="C15" s="332">
        <f t="shared" si="1"/>
        <v>93050</v>
      </c>
      <c r="D15" s="338" t="s">
        <v>47</v>
      </c>
      <c r="E15" s="87">
        <v>191600</v>
      </c>
      <c r="F15" s="334"/>
      <c r="G15" s="341">
        <f>G14+(E14-C14)*I14</f>
        <v>18481.25</v>
      </c>
      <c r="H15" s="338" t="s">
        <v>48</v>
      </c>
      <c r="I15" s="340">
        <v>0.28000000000000003</v>
      </c>
      <c r="J15" s="335">
        <f t="shared" si="0"/>
        <v>93050</v>
      </c>
      <c r="K15" s="334"/>
      <c r="L15" s="322"/>
      <c r="O15" s="378">
        <v>5</v>
      </c>
      <c r="P15" s="379" t="s">
        <v>16</v>
      </c>
      <c r="Q15" s="380" t="s">
        <v>337</v>
      </c>
      <c r="R15" s="380">
        <v>7911</v>
      </c>
      <c r="S15" s="377">
        <v>0.11650000000000001</v>
      </c>
      <c r="T15" s="381"/>
      <c r="U15" s="380">
        <v>7912</v>
      </c>
      <c r="V15" s="377">
        <v>0.72330000000000005</v>
      </c>
    </row>
    <row r="16" spans="2:27" x14ac:dyDescent="0.2">
      <c r="B16" s="322"/>
      <c r="C16" s="332">
        <f t="shared" si="1"/>
        <v>191600</v>
      </c>
      <c r="D16" s="338" t="s">
        <v>47</v>
      </c>
      <c r="E16" s="87">
        <v>413800</v>
      </c>
      <c r="F16" s="334"/>
      <c r="G16" s="341">
        <f>G15+(E15-C15)*I15</f>
        <v>46075.25</v>
      </c>
      <c r="H16" s="338" t="s">
        <v>48</v>
      </c>
      <c r="I16" s="340">
        <v>0.33</v>
      </c>
      <c r="J16" s="335">
        <f t="shared" si="0"/>
        <v>191600</v>
      </c>
      <c r="K16" s="334"/>
      <c r="L16" s="322"/>
      <c r="O16" s="387">
        <v>6</v>
      </c>
      <c r="P16" s="388" t="s">
        <v>16</v>
      </c>
      <c r="Q16" s="389" t="s">
        <v>338</v>
      </c>
      <c r="R16" s="389">
        <v>7913</v>
      </c>
      <c r="S16" s="375">
        <v>0.11650000000000001</v>
      </c>
      <c r="T16" s="390"/>
      <c r="U16" s="389">
        <v>7914</v>
      </c>
      <c r="V16" s="375">
        <v>0.7046</v>
      </c>
    </row>
    <row r="17" spans="2:23" x14ac:dyDescent="0.2">
      <c r="B17" s="322"/>
      <c r="C17" s="332">
        <f t="shared" si="1"/>
        <v>413800</v>
      </c>
      <c r="D17" s="338" t="s">
        <v>47</v>
      </c>
      <c r="E17" s="87">
        <v>415500</v>
      </c>
      <c r="F17" s="334"/>
      <c r="G17" s="341">
        <f>G16+(E16-C16)*I16</f>
        <v>119401.25</v>
      </c>
      <c r="H17" s="338" t="s">
        <v>48</v>
      </c>
      <c r="I17" s="340">
        <v>0.35</v>
      </c>
      <c r="J17" s="335">
        <f t="shared" si="0"/>
        <v>413800</v>
      </c>
      <c r="K17" s="334"/>
      <c r="L17" s="322"/>
      <c r="N17" s="12"/>
      <c r="O17" s="382">
        <v>7</v>
      </c>
      <c r="P17" s="383" t="s">
        <v>16</v>
      </c>
      <c r="Q17" s="384" t="s">
        <v>339</v>
      </c>
      <c r="R17" s="384">
        <v>7915</v>
      </c>
      <c r="S17" s="385">
        <v>0.11650000000000001</v>
      </c>
      <c r="T17" s="386"/>
      <c r="U17" s="384">
        <v>7916</v>
      </c>
      <c r="V17" s="385">
        <v>0.31340000000000001</v>
      </c>
    </row>
    <row r="18" spans="2:23" x14ac:dyDescent="0.2">
      <c r="B18" s="322"/>
      <c r="C18" s="332">
        <f t="shared" si="1"/>
        <v>415500</v>
      </c>
      <c r="D18" s="343" t="s">
        <v>49</v>
      </c>
      <c r="E18" s="343"/>
      <c r="F18" s="334"/>
      <c r="G18" s="341">
        <f>G17+(E17-C17)*I17</f>
        <v>119996.25</v>
      </c>
      <c r="H18" s="338" t="s">
        <v>48</v>
      </c>
      <c r="I18" s="344">
        <v>0.39600000000000002</v>
      </c>
      <c r="J18" s="335">
        <f t="shared" si="0"/>
        <v>415500</v>
      </c>
      <c r="K18" s="334"/>
      <c r="L18" s="322"/>
      <c r="N18" s="12"/>
      <c r="O18" s="378">
        <v>9</v>
      </c>
      <c r="P18" s="379" t="s">
        <v>17</v>
      </c>
      <c r="Q18" s="380" t="s">
        <v>18</v>
      </c>
      <c r="R18" s="380"/>
      <c r="S18" s="377"/>
      <c r="T18" s="381"/>
      <c r="U18" s="380"/>
      <c r="V18" s="377"/>
    </row>
    <row r="19" spans="2:23" ht="12.75" x14ac:dyDescent="0.2">
      <c r="B19" s="322"/>
      <c r="C19" s="334"/>
      <c r="D19" s="334"/>
      <c r="E19" s="342"/>
      <c r="F19" s="334"/>
      <c r="G19" s="342"/>
      <c r="H19" s="334"/>
      <c r="I19" s="338"/>
      <c r="J19" s="334"/>
      <c r="K19" s="334"/>
      <c r="L19" s="322"/>
      <c r="N19" s="12"/>
      <c r="O19" s="387">
        <v>0</v>
      </c>
      <c r="P19" s="388" t="s">
        <v>14</v>
      </c>
      <c r="Q19" s="389" t="s">
        <v>340</v>
      </c>
      <c r="R19" s="389">
        <v>7901</v>
      </c>
      <c r="S19" s="375">
        <v>8.4099999999999994E-2</v>
      </c>
      <c r="T19" s="390"/>
      <c r="U19" s="389">
        <v>7902</v>
      </c>
      <c r="V19" s="375">
        <v>0.18540000000000001</v>
      </c>
      <c r="W19" s="25"/>
    </row>
    <row r="20" spans="2:23" ht="12.75" x14ac:dyDescent="0.2">
      <c r="B20" s="322"/>
      <c r="C20" s="329" t="s">
        <v>50</v>
      </c>
      <c r="D20" s="345"/>
      <c r="E20" s="345"/>
      <c r="F20" s="322"/>
      <c r="G20" s="322"/>
      <c r="H20" s="329" t="s">
        <v>192</v>
      </c>
      <c r="I20" s="346"/>
      <c r="J20" s="322"/>
      <c r="K20" s="322"/>
      <c r="L20" s="322"/>
      <c r="N20" s="12"/>
      <c r="O20" s="382" t="s">
        <v>19</v>
      </c>
      <c r="P20" s="383" t="s">
        <v>16</v>
      </c>
      <c r="Q20" s="384" t="s">
        <v>341</v>
      </c>
      <c r="R20" s="384">
        <v>7923</v>
      </c>
      <c r="S20" s="385">
        <v>0.11650000000000001</v>
      </c>
      <c r="T20" s="386"/>
      <c r="U20" s="384">
        <v>7924</v>
      </c>
      <c r="V20" s="385">
        <v>0.69189999999999996</v>
      </c>
      <c r="W20" s="36"/>
    </row>
    <row r="21" spans="2:23" ht="12.75" customHeight="1" x14ac:dyDescent="0.2">
      <c r="B21" s="322"/>
      <c r="C21" s="464" t="s">
        <v>39</v>
      </c>
      <c r="D21" s="464"/>
      <c r="E21" s="464"/>
      <c r="F21" s="322"/>
      <c r="G21" s="322"/>
      <c r="H21" s="322"/>
      <c r="I21" s="346"/>
      <c r="J21" s="322"/>
      <c r="K21" s="322"/>
      <c r="L21" s="322"/>
      <c r="N21" s="12"/>
      <c r="O21" s="378" t="s">
        <v>20</v>
      </c>
      <c r="P21" s="379" t="s">
        <v>16</v>
      </c>
      <c r="Q21" s="380" t="s">
        <v>342</v>
      </c>
      <c r="R21" s="380">
        <v>7931</v>
      </c>
      <c r="S21" s="377">
        <v>0.11650000000000001</v>
      </c>
      <c r="T21" s="381"/>
      <c r="U21" s="380">
        <v>7932</v>
      </c>
      <c r="V21" s="377">
        <v>0.42849999999999999</v>
      </c>
      <c r="W21" s="36"/>
    </row>
    <row r="22" spans="2:23" ht="12.75" x14ac:dyDescent="0.2">
      <c r="B22" s="322"/>
      <c r="C22" s="464"/>
      <c r="D22" s="464"/>
      <c r="E22" s="464"/>
      <c r="F22" s="322"/>
      <c r="G22" s="331" t="s">
        <v>41</v>
      </c>
      <c r="H22" s="331"/>
      <c r="I22" s="346"/>
      <c r="J22" s="322"/>
      <c r="K22" s="322"/>
      <c r="L22" s="322"/>
      <c r="N22" s="12"/>
      <c r="O22" s="387" t="s">
        <v>21</v>
      </c>
      <c r="P22" s="388" t="s">
        <v>14</v>
      </c>
      <c r="Q22" s="389" t="s">
        <v>343</v>
      </c>
      <c r="R22" s="389">
        <v>7933</v>
      </c>
      <c r="S22" s="375">
        <v>7.9600000000000004E-2</v>
      </c>
      <c r="T22" s="390"/>
      <c r="U22" s="389">
        <v>7934</v>
      </c>
      <c r="V22" s="375">
        <v>0.1762</v>
      </c>
      <c r="W22" s="36"/>
    </row>
    <row r="23" spans="2:23" ht="12.75" x14ac:dyDescent="0.2">
      <c r="B23" s="322"/>
      <c r="C23" s="347"/>
      <c r="D23" s="333" t="s">
        <v>42</v>
      </c>
      <c r="E23" s="88">
        <v>8600</v>
      </c>
      <c r="F23" s="322" t="s">
        <v>43</v>
      </c>
      <c r="G23" s="322"/>
      <c r="H23" s="322"/>
      <c r="I23" s="338"/>
      <c r="J23" s="332">
        <v>0</v>
      </c>
      <c r="K23" s="322"/>
      <c r="L23" s="322"/>
      <c r="N23" s="12"/>
      <c r="O23" s="382" t="s">
        <v>22</v>
      </c>
      <c r="P23" s="383" t="s">
        <v>16</v>
      </c>
      <c r="Q23" s="384" t="s">
        <v>344</v>
      </c>
      <c r="R23" s="384">
        <v>7957</v>
      </c>
      <c r="S23" s="385">
        <v>0.11650000000000001</v>
      </c>
      <c r="T23" s="386"/>
      <c r="U23" s="384"/>
      <c r="V23" s="385"/>
      <c r="W23" s="36"/>
    </row>
    <row r="24" spans="2:23" x14ac:dyDescent="0.2">
      <c r="B24" s="322"/>
      <c r="C24" s="336" t="s">
        <v>44</v>
      </c>
      <c r="D24" s="322"/>
      <c r="E24" s="348" t="s">
        <v>45</v>
      </c>
      <c r="F24" s="322"/>
      <c r="G24" s="322"/>
      <c r="H24" s="322"/>
      <c r="I24" s="346"/>
      <c r="J24" s="337" t="s">
        <v>51</v>
      </c>
      <c r="K24" s="322"/>
      <c r="L24" s="322"/>
      <c r="O24" s="378" t="s">
        <v>23</v>
      </c>
      <c r="P24" s="379" t="s">
        <v>14</v>
      </c>
      <c r="Q24" s="380" t="s">
        <v>345</v>
      </c>
      <c r="R24" s="380">
        <v>7961</v>
      </c>
      <c r="S24" s="377">
        <v>8.4099999999999994E-2</v>
      </c>
      <c r="T24" s="381"/>
      <c r="U24" s="380">
        <v>7962</v>
      </c>
      <c r="V24" s="377">
        <v>7.0000000000000007E-2</v>
      </c>
    </row>
    <row r="25" spans="2:23" ht="12.75" x14ac:dyDescent="0.2">
      <c r="B25" s="322"/>
      <c r="C25" s="332">
        <f>E23</f>
        <v>8600</v>
      </c>
      <c r="D25" s="338" t="s">
        <v>47</v>
      </c>
      <c r="E25" s="87">
        <v>27050</v>
      </c>
      <c r="F25" s="334"/>
      <c r="G25" s="339"/>
      <c r="H25" s="343"/>
      <c r="I25" s="340">
        <v>0.1</v>
      </c>
      <c r="J25" s="335">
        <f t="shared" ref="J25:J31" si="2">C25</f>
        <v>8600</v>
      </c>
      <c r="K25" s="322"/>
      <c r="L25" s="322"/>
      <c r="N25" s="12"/>
      <c r="O25" s="40"/>
      <c r="P25" s="13"/>
      <c r="Q25" s="12"/>
      <c r="R25" s="12"/>
      <c r="S25" s="31"/>
      <c r="T25" s="23"/>
      <c r="U25" s="12"/>
      <c r="V25" s="31"/>
      <c r="W25" s="36"/>
    </row>
    <row r="26" spans="2:23" ht="12.75" x14ac:dyDescent="0.2">
      <c r="B26" s="322"/>
      <c r="C26" s="332">
        <f>E25</f>
        <v>27050</v>
      </c>
      <c r="D26" s="338" t="s">
        <v>47</v>
      </c>
      <c r="E26" s="87">
        <v>83500</v>
      </c>
      <c r="F26" s="334"/>
      <c r="G26" s="341">
        <f>(E25-C25)*I25</f>
        <v>1845</v>
      </c>
      <c r="H26" s="338" t="s">
        <v>48</v>
      </c>
      <c r="I26" s="340">
        <v>0.15</v>
      </c>
      <c r="J26" s="335">
        <f t="shared" si="2"/>
        <v>27050</v>
      </c>
      <c r="K26" s="322"/>
      <c r="L26" s="322"/>
      <c r="M26" s="12"/>
      <c r="N26" s="12"/>
      <c r="O26" s="312" t="s">
        <v>52</v>
      </c>
      <c r="P26" s="13" t="s">
        <v>14</v>
      </c>
      <c r="Q26" s="41" t="s">
        <v>53</v>
      </c>
      <c r="R26" s="42"/>
      <c r="S26" s="43"/>
      <c r="T26" s="12"/>
      <c r="U26" s="384">
        <v>7966</v>
      </c>
      <c r="V26" s="385">
        <f>S11+V11</f>
        <v>0.31359999999999999</v>
      </c>
      <c r="W26" s="36"/>
    </row>
    <row r="27" spans="2:23" ht="12.75" x14ac:dyDescent="0.2">
      <c r="B27" s="322"/>
      <c r="C27" s="332">
        <f t="shared" ref="C27:C31" si="3">E26</f>
        <v>83500</v>
      </c>
      <c r="D27" s="338" t="s">
        <v>47</v>
      </c>
      <c r="E27" s="87">
        <v>159800</v>
      </c>
      <c r="F27" s="334"/>
      <c r="G27" s="341">
        <f>G26+(E26-C26)*I26</f>
        <v>10312.5</v>
      </c>
      <c r="H27" s="338" t="s">
        <v>48</v>
      </c>
      <c r="I27" s="340">
        <v>0.25</v>
      </c>
      <c r="J27" s="335">
        <f t="shared" si="2"/>
        <v>83500</v>
      </c>
      <c r="K27" s="322"/>
      <c r="L27" s="322"/>
      <c r="M27" s="12"/>
      <c r="N27" s="12"/>
      <c r="O27" s="313" t="s">
        <v>54</v>
      </c>
      <c r="P27" s="314" t="s">
        <v>16</v>
      </c>
      <c r="Q27" s="315" t="s">
        <v>55</v>
      </c>
      <c r="R27" s="316"/>
      <c r="S27" s="317"/>
      <c r="T27" s="318"/>
      <c r="U27" s="380">
        <v>7970</v>
      </c>
      <c r="V27" s="377">
        <f>S14+V14</f>
        <v>0.87650000000000006</v>
      </c>
      <c r="W27" s="36"/>
    </row>
    <row r="28" spans="2:23" ht="14.25" customHeight="1" x14ac:dyDescent="0.2">
      <c r="B28" s="322"/>
      <c r="C28" s="332">
        <f t="shared" si="3"/>
        <v>159800</v>
      </c>
      <c r="D28" s="338" t="s">
        <v>47</v>
      </c>
      <c r="E28" s="87">
        <v>239050</v>
      </c>
      <c r="F28" s="334"/>
      <c r="G28" s="341">
        <f>G27+(E27-C27)*I27</f>
        <v>29387.5</v>
      </c>
      <c r="H28" s="338" t="s">
        <v>48</v>
      </c>
      <c r="I28" s="340">
        <v>0.28000000000000003</v>
      </c>
      <c r="J28" s="335">
        <f t="shared" si="2"/>
        <v>159800</v>
      </c>
      <c r="K28" s="322"/>
      <c r="L28" s="322"/>
      <c r="M28" s="12"/>
      <c r="N28" s="12"/>
      <c r="O28" s="312" t="s">
        <v>56</v>
      </c>
      <c r="P28" s="13" t="s">
        <v>16</v>
      </c>
      <c r="Q28" s="41" t="s">
        <v>57</v>
      </c>
      <c r="R28" s="42"/>
      <c r="S28" s="43"/>
      <c r="T28" s="12"/>
      <c r="U28" s="389">
        <v>7972</v>
      </c>
      <c r="V28" s="375">
        <f>S15+V15</f>
        <v>0.8398000000000001</v>
      </c>
      <c r="W28" s="36"/>
    </row>
    <row r="29" spans="2:23" ht="12" customHeight="1" x14ac:dyDescent="0.2">
      <c r="B29" s="322"/>
      <c r="C29" s="332">
        <f t="shared" si="3"/>
        <v>239050</v>
      </c>
      <c r="D29" s="338" t="s">
        <v>47</v>
      </c>
      <c r="E29" s="87">
        <v>420100</v>
      </c>
      <c r="F29" s="334"/>
      <c r="G29" s="341">
        <f>G28+(E28-C28)*I28</f>
        <v>51577.5</v>
      </c>
      <c r="H29" s="338" t="s">
        <v>48</v>
      </c>
      <c r="I29" s="340">
        <v>0.33</v>
      </c>
      <c r="J29" s="335">
        <f t="shared" si="2"/>
        <v>239050</v>
      </c>
      <c r="K29" s="322"/>
      <c r="L29" s="322"/>
      <c r="M29" s="12"/>
      <c r="N29" s="12"/>
      <c r="O29" s="313" t="s">
        <v>58</v>
      </c>
      <c r="P29" s="314" t="s">
        <v>16</v>
      </c>
      <c r="Q29" s="315" t="s">
        <v>59</v>
      </c>
      <c r="R29" s="316"/>
      <c r="S29" s="317"/>
      <c r="T29" s="318"/>
      <c r="U29" s="384">
        <v>7974</v>
      </c>
      <c r="V29" s="385">
        <f>S16+V16</f>
        <v>0.82110000000000005</v>
      </c>
      <c r="W29" s="36"/>
    </row>
    <row r="30" spans="2:23" ht="12" customHeight="1" x14ac:dyDescent="0.2">
      <c r="B30" s="322"/>
      <c r="C30" s="332">
        <f t="shared" si="3"/>
        <v>420100</v>
      </c>
      <c r="D30" s="338" t="s">
        <v>47</v>
      </c>
      <c r="E30" s="87">
        <v>473450</v>
      </c>
      <c r="F30" s="334"/>
      <c r="G30" s="341">
        <f>G29+(E29-C29)*I29</f>
        <v>111324</v>
      </c>
      <c r="H30" s="338" t="s">
        <v>48</v>
      </c>
      <c r="I30" s="340">
        <v>0.35</v>
      </c>
      <c r="J30" s="335">
        <f t="shared" si="2"/>
        <v>420100</v>
      </c>
      <c r="K30" s="322"/>
      <c r="L30" s="322"/>
      <c r="M30" s="12"/>
      <c r="N30" s="12"/>
      <c r="O30" s="312" t="s">
        <v>60</v>
      </c>
      <c r="P30" s="13" t="s">
        <v>16</v>
      </c>
      <c r="Q30" s="41" t="s">
        <v>61</v>
      </c>
      <c r="R30" s="42"/>
      <c r="S30" s="43"/>
      <c r="T30" s="12"/>
      <c r="U30" s="380">
        <v>7976</v>
      </c>
      <c r="V30" s="377">
        <f>S17+V17</f>
        <v>0.4299</v>
      </c>
      <c r="W30" s="36"/>
    </row>
    <row r="31" spans="2:23" ht="12.75" x14ac:dyDescent="0.2">
      <c r="B31" s="322"/>
      <c r="C31" s="332">
        <f t="shared" si="3"/>
        <v>473450</v>
      </c>
      <c r="D31" s="343" t="s">
        <v>49</v>
      </c>
      <c r="E31" s="334"/>
      <c r="F31" s="334"/>
      <c r="G31" s="341">
        <f>G30+(E30-C30)*I30</f>
        <v>129996.5</v>
      </c>
      <c r="H31" s="338" t="s">
        <v>48</v>
      </c>
      <c r="I31" s="344">
        <v>0.39600000000000002</v>
      </c>
      <c r="J31" s="335">
        <f t="shared" si="2"/>
        <v>473450</v>
      </c>
      <c r="K31" s="322"/>
      <c r="L31" s="322"/>
      <c r="M31" s="12"/>
      <c r="N31" s="12"/>
      <c r="O31" s="313" t="s">
        <v>62</v>
      </c>
      <c r="P31" s="314" t="s">
        <v>14</v>
      </c>
      <c r="Q31" s="315" t="s">
        <v>63</v>
      </c>
      <c r="R31" s="316"/>
      <c r="S31" s="317"/>
      <c r="T31" s="318"/>
      <c r="U31" s="389">
        <v>7964</v>
      </c>
      <c r="V31" s="375">
        <f>S19+V19</f>
        <v>0.26950000000000002</v>
      </c>
      <c r="W31" s="36"/>
    </row>
    <row r="32" spans="2:23" ht="12.75" x14ac:dyDescent="0.2">
      <c r="B32" s="322"/>
      <c r="C32" s="332"/>
      <c r="D32" s="343"/>
      <c r="E32" s="349"/>
      <c r="F32" s="334"/>
      <c r="G32" s="350"/>
      <c r="H32" s="350"/>
      <c r="I32" s="334"/>
      <c r="J32" s="322"/>
      <c r="K32" s="322"/>
      <c r="L32" s="322"/>
      <c r="M32" s="12"/>
      <c r="N32" s="12"/>
      <c r="O32" s="312" t="s">
        <v>64</v>
      </c>
      <c r="P32" s="13" t="s">
        <v>16</v>
      </c>
      <c r="Q32" s="41" t="s">
        <v>65</v>
      </c>
      <c r="R32" s="42"/>
      <c r="S32" s="43"/>
      <c r="T32" s="12"/>
      <c r="U32" s="384">
        <v>7978</v>
      </c>
      <c r="V32" s="385">
        <f>S20+V20</f>
        <v>0.80840000000000001</v>
      </c>
      <c r="W32" s="36"/>
    </row>
    <row r="33" spans="2:25" ht="12.75" x14ac:dyDescent="0.2">
      <c r="B33" s="322"/>
      <c r="C33" s="351" t="s">
        <v>70</v>
      </c>
      <c r="D33" s="343"/>
      <c r="E33" s="334"/>
      <c r="F33" s="334"/>
      <c r="G33" s="350"/>
      <c r="H33" s="350"/>
      <c r="I33" s="334"/>
      <c r="J33" s="89">
        <v>4000</v>
      </c>
      <c r="K33" s="322" t="s">
        <v>71</v>
      </c>
      <c r="L33" s="322"/>
      <c r="M33" s="12"/>
      <c r="N33" s="12"/>
      <c r="O33" s="313" t="s">
        <v>66</v>
      </c>
      <c r="P33" s="314" t="s">
        <v>16</v>
      </c>
      <c r="Q33" s="315" t="s">
        <v>67</v>
      </c>
      <c r="R33" s="316"/>
      <c r="S33" s="317"/>
      <c r="T33" s="318"/>
      <c r="U33" s="380">
        <v>7980</v>
      </c>
      <c r="V33" s="377">
        <f>S21+V21</f>
        <v>0.54500000000000004</v>
      </c>
      <c r="W33" s="25"/>
    </row>
    <row r="34" spans="2:25" ht="12.75" x14ac:dyDescent="0.2">
      <c r="B34" s="322"/>
      <c r="C34" s="352" t="s">
        <v>74</v>
      </c>
      <c r="D34" s="343"/>
      <c r="E34" s="334"/>
      <c r="F34" s="334"/>
      <c r="G34" s="350"/>
      <c r="H34" s="350"/>
      <c r="I34" s="334"/>
      <c r="J34" s="335"/>
      <c r="K34" s="322"/>
      <c r="L34" s="322"/>
      <c r="M34" s="12"/>
      <c r="N34" s="12"/>
      <c r="O34" s="312" t="s">
        <v>68</v>
      </c>
      <c r="P34" s="13" t="s">
        <v>16</v>
      </c>
      <c r="Q34" s="41" t="s">
        <v>69</v>
      </c>
      <c r="R34" s="42"/>
      <c r="S34" s="43"/>
      <c r="T34" s="12"/>
      <c r="U34" s="389">
        <v>7968</v>
      </c>
      <c r="V34" s="375">
        <f>S22+V22</f>
        <v>0.25580000000000003</v>
      </c>
      <c r="W34" s="44"/>
    </row>
    <row r="35" spans="2:25" ht="12.75" x14ac:dyDescent="0.2">
      <c r="B35" s="322"/>
      <c r="C35" s="353" t="s">
        <v>75</v>
      </c>
      <c r="D35" s="343"/>
      <c r="E35" s="334"/>
      <c r="F35" s="334"/>
      <c r="G35" s="350"/>
      <c r="H35" s="350"/>
      <c r="I35" s="334"/>
      <c r="J35" s="335"/>
      <c r="K35" s="322"/>
      <c r="L35" s="322"/>
      <c r="M35" s="12"/>
      <c r="N35" s="12"/>
      <c r="O35" s="313" t="s">
        <v>72</v>
      </c>
      <c r="P35" s="314" t="s">
        <v>14</v>
      </c>
      <c r="Q35" s="315" t="s">
        <v>73</v>
      </c>
      <c r="R35" s="316"/>
      <c r="S35" s="317"/>
      <c r="T35" s="318"/>
      <c r="U35" s="384">
        <v>7982</v>
      </c>
      <c r="V35" s="385">
        <f>S24+V24</f>
        <v>0.15410000000000001</v>
      </c>
      <c r="W35" s="44"/>
    </row>
    <row r="36" spans="2:25" ht="12.75" x14ac:dyDescent="0.2">
      <c r="B36" s="322"/>
      <c r="C36" s="343"/>
      <c r="D36" s="343"/>
      <c r="E36" s="334"/>
      <c r="F36" s="334"/>
      <c r="G36" s="350"/>
      <c r="H36" s="350"/>
      <c r="I36" s="334"/>
      <c r="J36" s="335"/>
      <c r="K36" s="322"/>
      <c r="L36" s="322"/>
      <c r="M36" s="12"/>
      <c r="N36" s="12"/>
      <c r="O36" s="32"/>
      <c r="P36" s="33"/>
      <c r="Q36" s="34"/>
      <c r="R36" s="34"/>
      <c r="S36" s="35"/>
      <c r="T36" s="35"/>
      <c r="U36" s="35"/>
      <c r="V36" s="35"/>
      <c r="W36" s="44"/>
    </row>
    <row r="37" spans="2:25" ht="14.1" customHeight="1" x14ac:dyDescent="0.2">
      <c r="L37" s="12"/>
      <c r="M37" s="12"/>
      <c r="N37" s="12"/>
      <c r="O37" s="387"/>
      <c r="P37" s="388" t="s">
        <v>12</v>
      </c>
      <c r="Q37" s="389" t="s">
        <v>76</v>
      </c>
      <c r="R37" s="389">
        <v>7509</v>
      </c>
      <c r="S37" s="375">
        <v>1.1999999999999999E-3</v>
      </c>
      <c r="T37" s="390"/>
      <c r="U37" s="389">
        <v>7508</v>
      </c>
      <c r="V37" s="375">
        <v>1.1999999999999999E-3</v>
      </c>
      <c r="W37" s="44"/>
    </row>
    <row r="38" spans="2:25" ht="14.45" customHeight="1" x14ac:dyDescent="0.2">
      <c r="M38" s="12"/>
      <c r="N38" s="12"/>
      <c r="O38" s="382"/>
      <c r="P38" s="383" t="s">
        <v>16</v>
      </c>
      <c r="Q38" s="384" t="s">
        <v>77</v>
      </c>
      <c r="R38" s="391"/>
      <c r="S38" s="392"/>
      <c r="T38" s="386"/>
      <c r="U38" s="384">
        <v>7520</v>
      </c>
      <c r="V38" s="385">
        <v>2.7000000000000001E-3</v>
      </c>
      <c r="W38" s="36"/>
    </row>
    <row r="39" spans="2:25" ht="18" customHeight="1" x14ac:dyDescent="0.25">
      <c r="C39" s="18" t="s">
        <v>79</v>
      </c>
      <c r="D39" s="19"/>
      <c r="E39" s="19"/>
      <c r="F39" s="50"/>
      <c r="G39" s="20"/>
      <c r="H39" s="20"/>
      <c r="I39" s="20"/>
      <c r="J39" s="19"/>
      <c r="K39" s="20" t="s">
        <v>80</v>
      </c>
      <c r="M39" s="12"/>
      <c r="N39" s="12"/>
      <c r="O39" s="393"/>
      <c r="P39" s="394" t="s">
        <v>16</v>
      </c>
      <c r="Q39" s="395" t="s">
        <v>346</v>
      </c>
      <c r="R39" s="396">
        <v>7987</v>
      </c>
      <c r="S39" s="397">
        <v>1.2999999999999999E-3</v>
      </c>
      <c r="T39" s="398"/>
      <c r="U39" s="395">
        <v>7988</v>
      </c>
      <c r="V39" s="399">
        <v>1.2999999999999999E-3</v>
      </c>
      <c r="W39" s="25"/>
    </row>
    <row r="40" spans="2:25" ht="12.75" x14ac:dyDescent="0.2">
      <c r="B40" s="51"/>
      <c r="C40" s="465" t="s">
        <v>83</v>
      </c>
      <c r="D40" s="12"/>
      <c r="E40" s="467" t="s">
        <v>84</v>
      </c>
      <c r="F40" s="12"/>
      <c r="G40" s="12"/>
      <c r="H40" s="12"/>
      <c r="I40" s="12"/>
      <c r="J40" s="12"/>
      <c r="K40" s="12"/>
      <c r="L40" s="12"/>
      <c r="M40" s="12"/>
      <c r="N40" s="12"/>
      <c r="O40" s="30"/>
      <c r="P40" s="13"/>
      <c r="Q40" s="12"/>
      <c r="R40" s="12"/>
      <c r="S40" s="31"/>
      <c r="T40" s="23"/>
      <c r="U40" s="12"/>
      <c r="V40" s="31"/>
      <c r="W40" s="25"/>
    </row>
    <row r="41" spans="2:25" ht="13.5" thickBot="1" x14ac:dyDescent="0.25">
      <c r="C41" s="466"/>
      <c r="D41" s="52"/>
      <c r="E41" s="468"/>
      <c r="F41" s="53"/>
      <c r="G41" s="53"/>
      <c r="H41" s="53"/>
      <c r="I41" s="53"/>
      <c r="J41" s="53"/>
      <c r="K41" s="53"/>
      <c r="L41" s="12"/>
      <c r="M41" s="12"/>
      <c r="N41" s="12"/>
      <c r="O41" s="47" t="s">
        <v>78</v>
      </c>
      <c r="P41" s="13"/>
      <c r="Q41" s="12"/>
      <c r="R41" s="12"/>
      <c r="S41" s="48"/>
      <c r="T41" s="49"/>
      <c r="U41" s="12"/>
      <c r="V41" s="48"/>
    </row>
    <row r="42" spans="2:25" x14ac:dyDescent="0.2">
      <c r="C42" s="30">
        <v>10</v>
      </c>
      <c r="D42" s="54" t="s">
        <v>90</v>
      </c>
      <c r="E42" s="55">
        <v>5.0999999999999997E-2</v>
      </c>
      <c r="F42" s="12" t="s">
        <v>91</v>
      </c>
      <c r="G42" s="12"/>
      <c r="H42" s="12"/>
      <c r="I42" s="12"/>
      <c r="J42" s="12"/>
      <c r="K42" s="12"/>
      <c r="L42" s="12"/>
      <c r="M42" s="12"/>
      <c r="N42" s="12"/>
      <c r="O42" s="400">
        <v>8</v>
      </c>
      <c r="P42" s="401" t="s">
        <v>81</v>
      </c>
      <c r="Q42" s="402" t="s">
        <v>82</v>
      </c>
      <c r="R42" s="402">
        <v>7917</v>
      </c>
      <c r="S42" s="359">
        <v>7.0000000000000007E-2</v>
      </c>
      <c r="T42" s="403"/>
      <c r="U42" s="402">
        <v>7918</v>
      </c>
      <c r="V42" s="404">
        <v>7.0000000000000007E-2</v>
      </c>
    </row>
    <row r="43" spans="2:25" x14ac:dyDescent="0.2">
      <c r="C43" s="30">
        <v>11</v>
      </c>
      <c r="D43" s="54" t="s">
        <v>90</v>
      </c>
      <c r="E43" s="55">
        <v>4.2000000000000003E-2</v>
      </c>
      <c r="F43" s="12" t="s">
        <v>91</v>
      </c>
      <c r="G43" s="12"/>
      <c r="H43" s="12"/>
      <c r="I43" s="12"/>
      <c r="J43" s="12"/>
      <c r="K43" s="12"/>
      <c r="L43" s="12"/>
      <c r="M43" s="12"/>
      <c r="N43" s="12"/>
      <c r="O43" s="400" t="s">
        <v>85</v>
      </c>
      <c r="P43" s="401" t="s">
        <v>16</v>
      </c>
      <c r="Q43" s="402" t="s">
        <v>86</v>
      </c>
      <c r="R43" s="402">
        <v>7921</v>
      </c>
      <c r="S43" s="404">
        <v>7.6499999999999999E-2</v>
      </c>
      <c r="T43" s="405"/>
      <c r="U43" s="402">
        <v>7922</v>
      </c>
      <c r="V43" s="404">
        <v>0.12859999999999999</v>
      </c>
    </row>
    <row r="44" spans="2:25" ht="12" customHeight="1" x14ac:dyDescent="0.2">
      <c r="C44" s="30">
        <v>12</v>
      </c>
      <c r="D44" s="54" t="s">
        <v>90</v>
      </c>
      <c r="E44" s="55">
        <v>3.5999999999999997E-2</v>
      </c>
      <c r="F44" s="12" t="s">
        <v>91</v>
      </c>
      <c r="G44" s="12"/>
      <c r="H44" s="12"/>
      <c r="I44" s="12"/>
      <c r="J44" s="12"/>
      <c r="K44" s="12"/>
      <c r="L44" s="12"/>
      <c r="M44" s="12"/>
      <c r="N44" s="12"/>
      <c r="O44" s="406" t="s">
        <v>87</v>
      </c>
      <c r="P44" s="401" t="s">
        <v>12</v>
      </c>
      <c r="Q44" s="402" t="s">
        <v>88</v>
      </c>
      <c r="R44" s="402">
        <v>7925</v>
      </c>
      <c r="S44" s="407" t="s">
        <v>89</v>
      </c>
      <c r="T44" s="403"/>
      <c r="U44" s="402">
        <v>7926</v>
      </c>
      <c r="V44" s="360">
        <v>7.4999999999999997E-2</v>
      </c>
    </row>
    <row r="45" spans="2:25" ht="12" customHeight="1" x14ac:dyDescent="0.2">
      <c r="C45" s="30">
        <v>13</v>
      </c>
      <c r="D45" s="54" t="s">
        <v>90</v>
      </c>
      <c r="E45" s="55">
        <v>2.7E-2</v>
      </c>
      <c r="F45" s="12" t="s">
        <v>91</v>
      </c>
      <c r="G45" s="12" t="s">
        <v>98</v>
      </c>
      <c r="H45" s="12"/>
      <c r="I45" s="12"/>
      <c r="J45" s="12"/>
      <c r="K45" s="12"/>
      <c r="L45" s="12"/>
      <c r="M45" s="12"/>
      <c r="O45" s="400" t="s">
        <v>92</v>
      </c>
      <c r="P45" s="401" t="s">
        <v>93</v>
      </c>
      <c r="Q45" s="402" t="s">
        <v>94</v>
      </c>
      <c r="R45" s="402"/>
      <c r="S45" s="404"/>
      <c r="T45" s="405"/>
      <c r="U45" s="402">
        <v>7810</v>
      </c>
      <c r="V45" s="404" t="s">
        <v>95</v>
      </c>
    </row>
    <row r="46" spans="2:25" x14ac:dyDescent="0.2">
      <c r="C46" s="30">
        <v>14</v>
      </c>
      <c r="D46" s="54" t="s">
        <v>90</v>
      </c>
      <c r="E46" s="55">
        <v>1.7999999999999999E-2</v>
      </c>
      <c r="F46" s="12" t="s">
        <v>91</v>
      </c>
      <c r="G46" s="12"/>
      <c r="H46" s="12"/>
      <c r="I46" s="12"/>
      <c r="J46" s="12"/>
      <c r="K46" s="12"/>
      <c r="L46" s="12"/>
      <c r="M46" s="12"/>
      <c r="O46" s="400" t="s">
        <v>96</v>
      </c>
      <c r="P46" s="401" t="s">
        <v>93</v>
      </c>
      <c r="Q46" s="402" t="s">
        <v>97</v>
      </c>
      <c r="R46" s="402">
        <v>7807</v>
      </c>
      <c r="S46" s="404">
        <v>2.6599999999999999E-2</v>
      </c>
      <c r="T46" s="403"/>
      <c r="U46" s="402">
        <v>7808</v>
      </c>
      <c r="V46" s="404">
        <v>2.6599999999999999E-2</v>
      </c>
    </row>
    <row r="47" spans="2:25" ht="12.75" x14ac:dyDescent="0.2">
      <c r="C47" s="30">
        <v>9</v>
      </c>
      <c r="D47" s="54" t="s">
        <v>90</v>
      </c>
      <c r="E47" s="55">
        <v>1.2999999999999999E-2</v>
      </c>
      <c r="F47" s="12" t="s">
        <v>91</v>
      </c>
      <c r="G47" s="12"/>
      <c r="H47" s="12"/>
      <c r="I47" s="12"/>
      <c r="J47" s="57"/>
      <c r="K47" s="57"/>
      <c r="L47" s="12"/>
      <c r="M47" s="12"/>
      <c r="N47" s="57"/>
      <c r="O47" s="56"/>
      <c r="P47" s="13"/>
      <c r="Q47" s="56"/>
      <c r="R47" s="56"/>
      <c r="S47" s="14"/>
      <c r="T47" s="12"/>
      <c r="U47" s="12"/>
      <c r="V47" s="14"/>
      <c r="W47" s="12"/>
    </row>
    <row r="48" spans="2:25" ht="12.75" x14ac:dyDescent="0.2">
      <c r="C48" s="30">
        <v>15</v>
      </c>
      <c r="D48" s="54" t="s">
        <v>90</v>
      </c>
      <c r="E48" s="55">
        <v>8.0000000000000002E-3</v>
      </c>
      <c r="F48" s="12" t="s">
        <v>91</v>
      </c>
      <c r="G48" s="12"/>
      <c r="H48" s="12"/>
      <c r="I48" s="12"/>
      <c r="J48" s="57"/>
      <c r="K48" s="57"/>
      <c r="L48" s="60"/>
      <c r="M48" s="12"/>
      <c r="N48" s="12"/>
      <c r="O48" s="56"/>
      <c r="P48" s="13"/>
      <c r="Q48" s="56"/>
      <c r="R48" s="56"/>
      <c r="S48" s="14"/>
      <c r="T48" s="12"/>
      <c r="U48" s="12"/>
      <c r="V48" s="14"/>
      <c r="W48" s="12"/>
      <c r="Y48" s="25"/>
    </row>
    <row r="49" spans="1:29" ht="12.75" x14ac:dyDescent="0.2">
      <c r="C49" s="30">
        <v>8</v>
      </c>
      <c r="D49" s="54" t="s">
        <v>90</v>
      </c>
      <c r="E49" s="55">
        <v>0</v>
      </c>
      <c r="F49" s="41" t="s">
        <v>100</v>
      </c>
      <c r="G49" s="12"/>
      <c r="H49" s="12"/>
      <c r="I49" s="12"/>
      <c r="J49" s="12"/>
      <c r="K49" s="57"/>
      <c r="L49" s="60"/>
      <c r="M49" s="12"/>
      <c r="N49" s="12"/>
      <c r="O49" s="56"/>
      <c r="P49" s="13"/>
      <c r="Q49" s="56"/>
      <c r="R49" s="56"/>
      <c r="S49" s="14"/>
      <c r="T49" s="12"/>
      <c r="U49" s="12"/>
      <c r="V49" s="14"/>
      <c r="X49" s="25"/>
      <c r="Y49" s="25"/>
    </row>
    <row r="50" spans="1:29" ht="18" x14ac:dyDescent="0.25">
      <c r="C50" s="30"/>
      <c r="D50" s="30"/>
      <c r="E50" s="30"/>
      <c r="F50" s="12"/>
      <c r="G50" s="12"/>
      <c r="H50" s="12"/>
      <c r="I50" s="12"/>
      <c r="J50" s="12"/>
      <c r="K50" s="12"/>
      <c r="L50" s="12"/>
      <c r="M50" s="12"/>
      <c r="N50" s="12"/>
      <c r="O50" s="21" t="s">
        <v>99</v>
      </c>
      <c r="P50" s="22"/>
      <c r="Q50" s="58"/>
      <c r="R50" s="58"/>
      <c r="S50" s="59"/>
      <c r="T50" s="58"/>
      <c r="U50" s="58"/>
      <c r="V50" s="59"/>
      <c r="X50" s="25"/>
      <c r="Y50" s="25"/>
    </row>
    <row r="51" spans="1:29" ht="13.5" thickBot="1" x14ac:dyDescent="0.25">
      <c r="C51" s="12"/>
      <c r="D51" s="12"/>
      <c r="E51" s="12"/>
      <c r="F51" s="12"/>
      <c r="G51" s="12"/>
      <c r="H51" s="12"/>
      <c r="I51" s="12"/>
      <c r="J51" s="12"/>
      <c r="K51" s="12"/>
      <c r="L51" s="12"/>
      <c r="M51" s="12"/>
      <c r="N51" s="12"/>
      <c r="P51" s="13"/>
      <c r="R51" s="469" t="s">
        <v>33</v>
      </c>
      <c r="S51" s="469"/>
      <c r="T51" s="12"/>
      <c r="U51" s="469" t="s">
        <v>34</v>
      </c>
      <c r="V51" s="469"/>
      <c r="X51" s="25"/>
      <c r="Y51" s="25"/>
    </row>
    <row r="52" spans="1:29" ht="12.75" x14ac:dyDescent="0.2">
      <c r="C52" s="60"/>
      <c r="D52" s="60"/>
      <c r="E52" s="60"/>
      <c r="F52" s="60"/>
      <c r="G52" s="66"/>
      <c r="H52" s="66"/>
      <c r="I52" s="12"/>
      <c r="J52" s="12"/>
      <c r="K52" s="12"/>
      <c r="L52" s="12"/>
      <c r="M52" s="12"/>
      <c r="N52" s="12"/>
      <c r="O52" s="23"/>
      <c r="P52" s="13"/>
      <c r="Q52" s="24" t="s">
        <v>101</v>
      </c>
      <c r="R52" s="7" t="s">
        <v>38</v>
      </c>
      <c r="S52" s="7"/>
      <c r="T52" s="23"/>
      <c r="U52" s="7" t="s">
        <v>38</v>
      </c>
      <c r="V52" s="7"/>
      <c r="X52" s="25"/>
      <c r="Y52" s="25"/>
    </row>
    <row r="53" spans="1:29" ht="18" customHeight="1" thickBot="1" x14ac:dyDescent="0.3">
      <c r="C53" s="18" t="s">
        <v>105</v>
      </c>
      <c r="D53" s="19"/>
      <c r="E53" s="19"/>
      <c r="F53" s="50"/>
      <c r="G53" s="20"/>
      <c r="H53" s="20"/>
      <c r="I53" s="19"/>
      <c r="J53" s="19"/>
      <c r="K53" s="20"/>
      <c r="L53" s="12"/>
      <c r="M53" s="12"/>
      <c r="N53" s="12"/>
      <c r="O53" s="61"/>
      <c r="P53" s="62"/>
      <c r="Q53" s="53"/>
      <c r="R53" s="28" t="s">
        <v>36</v>
      </c>
      <c r="S53" s="28" t="s">
        <v>40</v>
      </c>
      <c r="T53" s="63"/>
      <c r="U53" s="28" t="s">
        <v>36</v>
      </c>
      <c r="V53" s="28" t="s">
        <v>40</v>
      </c>
      <c r="X53" s="25"/>
      <c r="Y53" s="25"/>
    </row>
    <row r="54" spans="1:29" ht="12.75" x14ac:dyDescent="0.2">
      <c r="C54" s="12"/>
      <c r="D54" s="71"/>
      <c r="E54" s="463" t="s">
        <v>107</v>
      </c>
      <c r="F54" s="463"/>
      <c r="G54" s="12"/>
      <c r="H54" s="23" t="s">
        <v>33</v>
      </c>
      <c r="J54" s="23" t="s">
        <v>34</v>
      </c>
      <c r="K54" s="72"/>
      <c r="L54" s="12"/>
      <c r="M54" s="12"/>
      <c r="N54" s="12"/>
      <c r="O54" s="30"/>
      <c r="P54" s="13"/>
      <c r="Q54" s="12" t="s">
        <v>102</v>
      </c>
      <c r="R54" s="45"/>
      <c r="S54" s="64"/>
      <c r="T54" s="14"/>
      <c r="U54" s="312" t="s">
        <v>103</v>
      </c>
      <c r="V54" s="361">
        <v>1E-3</v>
      </c>
      <c r="X54" s="25"/>
      <c r="Y54" s="25"/>
    </row>
    <row r="55" spans="1:29" ht="18" customHeight="1" x14ac:dyDescent="0.2">
      <c r="C55" s="321" t="s">
        <v>109</v>
      </c>
      <c r="D55" s="2"/>
      <c r="E55" s="431" t="s">
        <v>110</v>
      </c>
      <c r="F55" s="73">
        <v>118500</v>
      </c>
      <c r="G55" s="74"/>
      <c r="H55" s="75">
        <v>6.2E-2</v>
      </c>
      <c r="I55" s="12"/>
      <c r="J55" s="75">
        <v>6.2E-2</v>
      </c>
      <c r="K55" s="76"/>
      <c r="L55" s="12"/>
      <c r="M55" s="12"/>
      <c r="N55" s="12"/>
      <c r="O55" s="67"/>
      <c r="P55" s="39"/>
      <c r="Q55" s="68" t="s">
        <v>104</v>
      </c>
      <c r="R55" s="46"/>
      <c r="S55" s="69"/>
      <c r="T55" s="32"/>
      <c r="U55" s="32">
        <v>3800</v>
      </c>
      <c r="V55" s="362">
        <v>2E-3</v>
      </c>
      <c r="X55" s="25"/>
      <c r="Y55" s="25"/>
    </row>
    <row r="56" spans="1:29" x14ac:dyDescent="0.2">
      <c r="C56" s="24"/>
      <c r="D56" s="12"/>
      <c r="E56" s="14"/>
      <c r="F56" s="77"/>
      <c r="G56" s="74"/>
      <c r="H56" s="12"/>
      <c r="I56" s="12"/>
      <c r="J56" s="78"/>
      <c r="K56" s="76"/>
      <c r="L56" s="12"/>
      <c r="M56" s="12"/>
      <c r="N56" s="12"/>
      <c r="O56" s="54"/>
      <c r="P56" s="13"/>
      <c r="Q56" s="70" t="s">
        <v>106</v>
      </c>
      <c r="R56" s="45"/>
      <c r="S56" s="64"/>
      <c r="T56" s="30"/>
      <c r="U56" s="312">
        <v>3802</v>
      </c>
      <c r="V56" s="363">
        <v>8.3000000000000001E-3</v>
      </c>
    </row>
    <row r="57" spans="1:29" ht="12.75" x14ac:dyDescent="0.2">
      <c r="C57" s="24" t="s">
        <v>114</v>
      </c>
      <c r="D57" s="12"/>
      <c r="E57" s="14" t="s">
        <v>110</v>
      </c>
      <c r="F57" s="73">
        <v>200000</v>
      </c>
      <c r="G57" s="12"/>
      <c r="H57" s="75">
        <v>1.4500000000000001E-2</v>
      </c>
      <c r="I57" s="12"/>
      <c r="J57" s="75">
        <v>1.4500000000000001E-2</v>
      </c>
      <c r="K57" s="31"/>
      <c r="L57" s="12"/>
      <c r="M57" s="12"/>
      <c r="N57" s="12"/>
      <c r="O57" s="32"/>
      <c r="P57" s="39"/>
      <c r="Q57" s="68" t="s">
        <v>108</v>
      </c>
      <c r="R57" s="46"/>
      <c r="S57" s="69"/>
      <c r="T57" s="32"/>
      <c r="U57" s="32">
        <v>3804</v>
      </c>
      <c r="V57" s="361">
        <v>4.0000000000000001E-3</v>
      </c>
    </row>
    <row r="58" spans="1:29" ht="16.5" x14ac:dyDescent="0.2">
      <c r="C58" s="24"/>
      <c r="D58" s="12"/>
      <c r="E58" s="14" t="s">
        <v>116</v>
      </c>
      <c r="F58" s="79">
        <v>200000</v>
      </c>
      <c r="G58" s="12"/>
      <c r="H58" s="75">
        <v>2.35E-2</v>
      </c>
      <c r="I58" s="12"/>
      <c r="J58" s="75">
        <v>1.4500000000000001E-2</v>
      </c>
      <c r="K58" s="31"/>
      <c r="L58" s="12"/>
      <c r="M58" s="12"/>
      <c r="N58" s="12"/>
      <c r="Q58" s="12" t="s">
        <v>111</v>
      </c>
      <c r="R58" s="30"/>
      <c r="S58" s="14"/>
      <c r="T58" s="30"/>
      <c r="U58" s="312">
        <v>3806</v>
      </c>
      <c r="V58" s="364" t="s">
        <v>112</v>
      </c>
      <c r="W58" s="51"/>
    </row>
    <row r="59" spans="1:29" x14ac:dyDescent="0.2">
      <c r="C59" s="80" t="s">
        <v>118</v>
      </c>
      <c r="D59" s="12"/>
      <c r="E59" s="12"/>
      <c r="F59" s="12"/>
      <c r="G59" s="12"/>
      <c r="H59" s="12"/>
      <c r="I59" s="12"/>
      <c r="J59" s="12"/>
      <c r="K59" s="12"/>
      <c r="L59" s="12"/>
      <c r="M59" s="12"/>
      <c r="N59" s="12"/>
      <c r="O59" s="32"/>
      <c r="P59" s="39"/>
      <c r="Q59" s="34" t="s">
        <v>113</v>
      </c>
      <c r="R59" s="46"/>
      <c r="S59" s="69"/>
      <c r="T59" s="32"/>
      <c r="U59" s="32">
        <v>3808</v>
      </c>
      <c r="V59" s="365"/>
      <c r="W59" s="51"/>
    </row>
    <row r="60" spans="1:29" x14ac:dyDescent="0.2">
      <c r="C60" s="41" t="s">
        <v>120</v>
      </c>
      <c r="D60" s="12"/>
      <c r="E60" s="14"/>
      <c r="F60" s="12"/>
      <c r="G60" s="12"/>
      <c r="H60" s="12"/>
      <c r="I60" s="12"/>
      <c r="J60" s="70"/>
      <c r="K60" s="12"/>
      <c r="L60" s="12"/>
      <c r="M60" s="12"/>
      <c r="O60" s="54"/>
      <c r="P60" s="13"/>
      <c r="Q60" s="70" t="s">
        <v>115</v>
      </c>
      <c r="R60" s="45"/>
      <c r="S60" s="64"/>
      <c r="T60" s="30"/>
      <c r="U60" s="312">
        <v>3810</v>
      </c>
      <c r="V60" s="361">
        <v>2.9999999999999997E-4</v>
      </c>
    </row>
    <row r="61" spans="1:29" x14ac:dyDescent="0.2">
      <c r="C61" s="12"/>
      <c r="D61" s="12"/>
      <c r="E61" s="12"/>
      <c r="F61" s="12"/>
      <c r="G61" s="12"/>
      <c r="H61" s="12"/>
      <c r="I61" s="12"/>
      <c r="J61" s="12"/>
      <c r="K61" s="12"/>
      <c r="L61" s="12"/>
      <c r="M61" s="12"/>
      <c r="O61" s="32"/>
      <c r="P61" s="39" t="s">
        <v>16</v>
      </c>
      <c r="Q61" s="34" t="s">
        <v>117</v>
      </c>
      <c r="R61" s="46"/>
      <c r="S61" s="69"/>
      <c r="T61" s="32"/>
      <c r="U61" s="32">
        <v>7936</v>
      </c>
      <c r="V61" s="362">
        <v>0.28620000000000001</v>
      </c>
    </row>
    <row r="62" spans="1:29" s="81" customFormat="1" x14ac:dyDescent="0.2">
      <c r="A62" s="15"/>
      <c r="B62" s="15"/>
      <c r="C62" s="12"/>
      <c r="D62" s="12"/>
      <c r="E62" s="12"/>
      <c r="F62" s="12"/>
      <c r="G62" s="12"/>
      <c r="H62" s="12"/>
      <c r="I62" s="12"/>
      <c r="J62" s="12"/>
      <c r="K62" s="12"/>
      <c r="L62" s="12"/>
      <c r="M62" s="12"/>
      <c r="N62" s="12"/>
      <c r="O62" s="54"/>
      <c r="P62" s="13" t="s">
        <v>14</v>
      </c>
      <c r="Q62" s="70" t="s">
        <v>119</v>
      </c>
      <c r="R62" s="45"/>
      <c r="S62" s="64"/>
      <c r="T62" s="30"/>
      <c r="U62" s="312">
        <v>7938</v>
      </c>
      <c r="V62" s="363">
        <v>0.1133</v>
      </c>
      <c r="X62" s="15"/>
      <c r="Y62" s="15"/>
      <c r="Z62" s="15"/>
      <c r="AA62" s="15"/>
      <c r="AB62" s="15"/>
      <c r="AC62" s="15"/>
    </row>
    <row r="63" spans="1:29" x14ac:dyDescent="0.2">
      <c r="C63" s="12"/>
      <c r="D63" s="12"/>
      <c r="E63" s="12"/>
      <c r="F63" s="12"/>
      <c r="G63" s="12"/>
      <c r="H63" s="12"/>
      <c r="I63" s="12"/>
      <c r="J63" s="12"/>
      <c r="K63" s="12"/>
      <c r="L63" s="12"/>
      <c r="N63" s="12"/>
      <c r="O63" s="32"/>
      <c r="P63" s="39" t="s">
        <v>15</v>
      </c>
      <c r="Q63" s="34" t="s">
        <v>121</v>
      </c>
      <c r="R63" s="46"/>
      <c r="S63" s="69"/>
      <c r="T63" s="32"/>
      <c r="U63" s="32">
        <v>7940</v>
      </c>
      <c r="V63" s="408">
        <v>0.23499999999999999</v>
      </c>
    </row>
    <row r="64" spans="1:29" s="51" customFormat="1" ht="18" x14ac:dyDescent="0.25">
      <c r="A64" s="15"/>
      <c r="B64" s="15"/>
      <c r="C64" s="432" t="s">
        <v>125</v>
      </c>
      <c r="D64" s="12"/>
      <c r="E64" s="12"/>
      <c r="F64" s="12"/>
      <c r="G64" s="12"/>
      <c r="H64" s="12"/>
      <c r="I64" s="12"/>
      <c r="J64" s="12"/>
      <c r="K64" s="12"/>
      <c r="L64" s="12"/>
      <c r="M64" s="23"/>
      <c r="N64" s="72"/>
      <c r="O64" s="54"/>
      <c r="P64" s="13" t="s">
        <v>14</v>
      </c>
      <c r="Q64" s="70" t="s">
        <v>122</v>
      </c>
      <c r="R64" s="45"/>
      <c r="S64" s="64"/>
      <c r="T64" s="30"/>
      <c r="U64" s="312">
        <v>7942</v>
      </c>
      <c r="V64" s="366">
        <v>0.1133</v>
      </c>
      <c r="X64" s="15"/>
      <c r="Y64" s="15"/>
      <c r="Z64" s="15"/>
      <c r="AA64" s="15"/>
      <c r="AB64" s="15"/>
      <c r="AC64" s="15"/>
    </row>
    <row r="65" spans="1:29" s="51" customFormat="1" x14ac:dyDescent="0.2">
      <c r="A65" s="15"/>
      <c r="B65" s="15"/>
      <c r="C65" s="12"/>
      <c r="D65" s="71"/>
      <c r="E65" s="358" t="s">
        <v>125</v>
      </c>
      <c r="F65" s="71" t="s">
        <v>127</v>
      </c>
      <c r="G65" s="17"/>
      <c r="H65" s="17"/>
      <c r="I65" s="23"/>
      <c r="J65" s="15"/>
      <c r="K65" s="15"/>
      <c r="L65" s="15"/>
      <c r="M65" s="78"/>
      <c r="N65" s="76"/>
      <c r="O65" s="32"/>
      <c r="P65" s="39" t="s">
        <v>14</v>
      </c>
      <c r="Q65" s="34" t="s">
        <v>123</v>
      </c>
      <c r="R65" s="46"/>
      <c r="S65" s="69"/>
      <c r="T65" s="32"/>
      <c r="U65" s="32">
        <v>7944</v>
      </c>
      <c r="V65" s="367">
        <v>0.1133</v>
      </c>
      <c r="X65" s="15"/>
      <c r="Y65" s="15"/>
      <c r="Z65" s="15"/>
      <c r="AA65" s="15"/>
      <c r="AB65" s="15"/>
      <c r="AC65" s="15"/>
    </row>
    <row r="66" spans="1:29" ht="12" customHeight="1" x14ac:dyDescent="0.2">
      <c r="A66" s="51"/>
      <c r="C66" s="24" t="s">
        <v>129</v>
      </c>
      <c r="D66" s="12"/>
      <c r="E66" s="82">
        <v>7.25</v>
      </c>
      <c r="F66" s="369">
        <v>40018</v>
      </c>
      <c r="G66" s="81"/>
      <c r="H66" s="81"/>
      <c r="I66" s="23"/>
      <c r="J66" s="51"/>
      <c r="K66" s="23"/>
      <c r="L66" s="17"/>
      <c r="M66" s="78"/>
      <c r="N66" s="31"/>
      <c r="O66" s="54"/>
      <c r="P66" s="13" t="s">
        <v>16</v>
      </c>
      <c r="Q66" s="70" t="s">
        <v>124</v>
      </c>
      <c r="R66" s="45"/>
      <c r="S66" s="64"/>
      <c r="T66" s="30"/>
      <c r="U66" s="312">
        <v>7946</v>
      </c>
      <c r="V66" s="361">
        <v>0.28620000000000001</v>
      </c>
    </row>
    <row r="67" spans="1:29" ht="12.75" x14ac:dyDescent="0.2">
      <c r="C67" s="321" t="s">
        <v>131</v>
      </c>
      <c r="D67" s="2"/>
      <c r="E67" s="82">
        <v>8.0500000000000007</v>
      </c>
      <c r="F67" s="433">
        <v>42005</v>
      </c>
      <c r="G67" s="14"/>
      <c r="H67" s="17"/>
      <c r="I67" s="78"/>
      <c r="J67" s="51"/>
      <c r="K67" s="23"/>
      <c r="L67" s="17"/>
      <c r="M67" s="12"/>
      <c r="N67" s="12"/>
      <c r="O67" s="32"/>
      <c r="P67" s="39" t="s">
        <v>16</v>
      </c>
      <c r="Q67" s="34" t="s">
        <v>126</v>
      </c>
      <c r="R67" s="46"/>
      <c r="S67" s="69"/>
      <c r="T67" s="32"/>
      <c r="U67" s="32">
        <v>7948</v>
      </c>
      <c r="V67" s="362">
        <v>0.28620000000000001</v>
      </c>
      <c r="W67" s="12"/>
    </row>
    <row r="68" spans="1:29" x14ac:dyDescent="0.2">
      <c r="C68" s="80" t="s">
        <v>133</v>
      </c>
      <c r="D68" s="12"/>
      <c r="E68" s="12"/>
      <c r="F68" s="12"/>
      <c r="G68" s="12"/>
      <c r="H68" s="12"/>
      <c r="I68" s="12"/>
      <c r="K68" s="78"/>
      <c r="M68" s="12"/>
      <c r="N68" s="31"/>
      <c r="O68" s="54"/>
      <c r="P68" s="13" t="s">
        <v>16</v>
      </c>
      <c r="Q68" s="70" t="s">
        <v>128</v>
      </c>
      <c r="R68" s="45"/>
      <c r="S68" s="64"/>
      <c r="T68" s="30"/>
      <c r="U68" s="312">
        <v>7950</v>
      </c>
      <c r="V68" s="363">
        <v>0.28620000000000001</v>
      </c>
    </row>
    <row r="69" spans="1:29" x14ac:dyDescent="0.2">
      <c r="K69" s="12"/>
      <c r="L69" s="12"/>
      <c r="M69" s="12"/>
      <c r="O69" s="32"/>
      <c r="P69" s="39" t="s">
        <v>16</v>
      </c>
      <c r="Q69" s="34" t="s">
        <v>130</v>
      </c>
      <c r="R69" s="46"/>
      <c r="S69" s="69"/>
      <c r="T69" s="32"/>
      <c r="U69" s="32">
        <v>7952</v>
      </c>
      <c r="V69" s="368">
        <v>0.28620000000000001</v>
      </c>
      <c r="X69" s="12"/>
    </row>
    <row r="70" spans="1:29" x14ac:dyDescent="0.2">
      <c r="L70" s="12"/>
      <c r="O70" s="37"/>
      <c r="P70" s="83" t="s">
        <v>16</v>
      </c>
      <c r="Q70" s="38" t="s">
        <v>132</v>
      </c>
      <c r="R70" s="84"/>
      <c r="S70" s="85"/>
      <c r="T70" s="37"/>
      <c r="U70" s="37">
        <v>7954</v>
      </c>
      <c r="V70" s="366">
        <v>0.28620000000000001</v>
      </c>
    </row>
    <row r="71" spans="1:29" x14ac:dyDescent="0.2">
      <c r="L71" s="12"/>
      <c r="N71" s="12"/>
      <c r="O71" s="70"/>
      <c r="P71" s="13" t="s">
        <v>12</v>
      </c>
      <c r="Q71" s="70" t="s">
        <v>134</v>
      </c>
      <c r="R71" s="45"/>
      <c r="S71" s="64"/>
      <c r="T71" s="30"/>
      <c r="U71" s="312">
        <v>7956</v>
      </c>
      <c r="V71" s="363">
        <v>9.3600000000000003E-2</v>
      </c>
      <c r="W71" s="12"/>
    </row>
    <row r="72" spans="1:29" x14ac:dyDescent="0.2">
      <c r="N72" s="12"/>
      <c r="O72" s="70"/>
      <c r="P72" s="409" t="s">
        <v>347</v>
      </c>
      <c r="Q72" s="410" t="s">
        <v>348</v>
      </c>
      <c r="R72" s="411"/>
      <c r="S72" s="412"/>
      <c r="T72" s="411"/>
      <c r="U72" s="411">
        <v>7984</v>
      </c>
      <c r="V72" s="361">
        <v>0.1215</v>
      </c>
      <c r="W72" s="12"/>
    </row>
    <row r="73" spans="1:29" x14ac:dyDescent="0.2">
      <c r="N73" s="12"/>
      <c r="O73" s="70"/>
      <c r="P73" s="413" t="s">
        <v>349</v>
      </c>
      <c r="Q73" s="414" t="s">
        <v>350</v>
      </c>
      <c r="R73" s="415"/>
      <c r="S73" s="416"/>
      <c r="T73" s="415"/>
      <c r="U73" s="415">
        <v>7986</v>
      </c>
      <c r="V73" s="363">
        <v>0.17499999999999999</v>
      </c>
      <c r="W73" s="12"/>
    </row>
    <row r="74" spans="1:29" x14ac:dyDescent="0.2">
      <c r="N74" s="12"/>
      <c r="O74" s="30"/>
      <c r="P74" s="13"/>
      <c r="Q74" s="12"/>
      <c r="R74" s="12"/>
      <c r="S74" s="65"/>
      <c r="T74" s="30"/>
      <c r="U74" s="30"/>
      <c r="V74" s="14"/>
      <c r="W74" s="12"/>
    </row>
    <row r="75" spans="1:29" x14ac:dyDescent="0.2">
      <c r="A75" s="417"/>
      <c r="B75" s="425"/>
      <c r="C75" s="425"/>
      <c r="D75" s="425"/>
      <c r="E75" s="425"/>
      <c r="F75" s="425"/>
      <c r="G75" s="425"/>
      <c r="H75" s="425"/>
      <c r="I75" s="425"/>
      <c r="J75" s="425"/>
      <c r="K75" s="425"/>
      <c r="L75" s="425"/>
      <c r="M75" s="425"/>
      <c r="N75" s="426"/>
      <c r="O75" s="427"/>
      <c r="P75" s="428"/>
      <c r="Q75" s="425"/>
      <c r="R75" s="429"/>
      <c r="S75" s="425"/>
      <c r="T75" s="429"/>
      <c r="U75" s="430"/>
      <c r="V75" s="370"/>
      <c r="W75" s="425"/>
    </row>
    <row r="76" spans="1:29" ht="15" x14ac:dyDescent="0.2">
      <c r="A76" s="417"/>
      <c r="B76" s="418" t="s">
        <v>354</v>
      </c>
      <c r="C76" s="418"/>
      <c r="D76" s="418"/>
      <c r="E76" s="418"/>
      <c r="F76" s="418"/>
      <c r="G76" s="418"/>
      <c r="H76" s="418"/>
      <c r="I76" s="418"/>
      <c r="J76" s="418"/>
      <c r="K76" s="418" t="s">
        <v>351</v>
      </c>
      <c r="L76" s="418"/>
      <c r="M76" s="418"/>
      <c r="N76" s="419"/>
      <c r="O76" s="420"/>
      <c r="P76" s="421"/>
      <c r="Q76" s="422"/>
      <c r="R76" s="422"/>
      <c r="S76" s="371"/>
      <c r="T76" s="420"/>
      <c r="U76" s="420"/>
      <c r="V76" s="423"/>
      <c r="W76" s="424" t="s">
        <v>352</v>
      </c>
    </row>
    <row r="77" spans="1:29" x14ac:dyDescent="0.2">
      <c r="O77" s="12"/>
      <c r="P77" s="13"/>
      <c r="Q77" s="12"/>
      <c r="R77" s="12"/>
      <c r="S77" s="14"/>
      <c r="T77" s="12"/>
      <c r="U77" s="12"/>
      <c r="V77" s="14"/>
    </row>
  </sheetData>
  <sheetProtection password="8E71" sheet="1" objects="1" scenarios="1"/>
  <mergeCells count="12">
    <mergeCell ref="U51:V51"/>
    <mergeCell ref="C8:E9"/>
    <mergeCell ref="T1:V1"/>
    <mergeCell ref="T2:V2"/>
    <mergeCell ref="S3:U3"/>
    <mergeCell ref="R6:S6"/>
    <mergeCell ref="U6:V6"/>
    <mergeCell ref="E54:F54"/>
    <mergeCell ref="C21:E22"/>
    <mergeCell ref="C40:C41"/>
    <mergeCell ref="E40:E41"/>
    <mergeCell ref="R51:S51"/>
  </mergeCells>
  <hyperlinks>
    <hyperlink ref="E66" r:id="rId1" display="http://www.dol.gov/dol/topic/wages/minimumwage.htm"/>
    <hyperlink ref="H55" r:id="rId2" display="http://www.ssa.gov/oact/ProgData/oasdiRates.html"/>
    <hyperlink ref="J55" r:id="rId3" display="http://www.ssa.gov/oact/ProgData/oasdiRates.html"/>
    <hyperlink ref="H57" r:id="rId4" display="http://www.ssa.gov/oact/ProgData/taxRates.html"/>
    <hyperlink ref="J57" r:id="rId5" display="http://www.ssa.gov/oact/ProgData/taxRates.html"/>
    <hyperlink ref="C39" r:id="rId6"/>
    <hyperlink ref="C53" r:id="rId7"/>
    <hyperlink ref="J58" r:id="rId8" display="http://www.ssa.gov/oact/ProgData/taxRates.html"/>
    <hyperlink ref="H58" r:id="rId9" display="http://www.ssa.gov/oact/ProgData/taxRates.html"/>
    <hyperlink ref="C5" r:id="rId10"/>
    <hyperlink ref="F55" r:id="rId11" display="http://www.ssa.gov/oact/COLA/cbbdet.html"/>
    <hyperlink ref="E67" r:id="rId12" display="http://www.ica.state.az.us/Labor/Labor_MinWag_main.aspx"/>
  </hyperlinks>
  <printOptions horizontalCentered="1" verticalCentered="1"/>
  <pageMargins left="0.2" right="0.2" top="0.2" bottom="0.2" header="0" footer="0"/>
  <pageSetup scale="64" orientation="landscape" cellComments="asDisplayed" horizontalDpi="1200" verticalDpi="1200" r:id="rId13"/>
  <headerFooter alignWithMargins="0"/>
  <drawing r:id="rId14"/>
  <legacy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Q42"/>
  <sheetViews>
    <sheetView zoomScale="96" zoomScaleNormal="96" workbookViewId="0">
      <pane xSplit="1" ySplit="1" topLeftCell="B2" activePane="bottomRight" state="frozen"/>
      <selection pane="topRight" activeCell="B1" sqref="B1"/>
      <selection pane="bottomLeft" activeCell="A2" sqref="A2"/>
      <selection pane="bottomRight" activeCell="B5" sqref="B5"/>
    </sheetView>
  </sheetViews>
  <sheetFormatPr defaultRowHeight="15" x14ac:dyDescent="0.25"/>
  <cols>
    <col min="1" max="1" width="49" customWidth="1"/>
    <col min="2" max="2" width="27" customWidth="1"/>
    <col min="3" max="13" width="11.7109375" customWidth="1"/>
    <col min="14" max="14" width="11.28515625" customWidth="1"/>
    <col min="15" max="17" width="9.7109375" bestFit="1" customWidth="1"/>
    <col min="18" max="19" width="9.28515625" bestFit="1" customWidth="1"/>
  </cols>
  <sheetData>
    <row r="1" spans="1:17" ht="23.25" x14ac:dyDescent="0.35">
      <c r="A1" s="147" t="s">
        <v>223</v>
      </c>
      <c r="B1" s="148">
        <v>2003</v>
      </c>
      <c r="C1" s="148">
        <v>2004</v>
      </c>
      <c r="D1" s="148">
        <v>2005</v>
      </c>
      <c r="E1" s="148">
        <v>2006</v>
      </c>
      <c r="F1" s="148">
        <v>2007</v>
      </c>
      <c r="G1" s="148">
        <v>2008</v>
      </c>
      <c r="H1" s="148">
        <v>2009</v>
      </c>
      <c r="I1" s="148">
        <v>2010</v>
      </c>
      <c r="J1" s="148">
        <v>2011</v>
      </c>
      <c r="K1" s="148">
        <v>2012</v>
      </c>
      <c r="L1" s="148">
        <v>2013</v>
      </c>
      <c r="M1" s="148">
        <v>2014</v>
      </c>
      <c r="N1" s="148">
        <v>2015</v>
      </c>
      <c r="O1" s="148">
        <v>2016</v>
      </c>
      <c r="P1" s="148">
        <v>2017</v>
      </c>
      <c r="Q1" s="149">
        <v>2018</v>
      </c>
    </row>
    <row r="2" spans="1:17" x14ac:dyDescent="0.25">
      <c r="A2" s="131" t="s">
        <v>203</v>
      </c>
      <c r="B2" s="136">
        <v>182.69</v>
      </c>
      <c r="C2" s="136">
        <v>186.54</v>
      </c>
      <c r="D2" s="136">
        <v>192.31</v>
      </c>
      <c r="E2" s="136">
        <v>198.08</v>
      </c>
      <c r="F2" s="136">
        <v>205.77</v>
      </c>
      <c r="G2" s="136">
        <v>209.62</v>
      </c>
      <c r="H2" s="136">
        <v>219.23</v>
      </c>
      <c r="I2" s="136">
        <v>219.23</v>
      </c>
      <c r="J2" s="136">
        <v>223.08</v>
      </c>
      <c r="K2" s="136">
        <v>228.85</v>
      </c>
      <c r="L2" s="136">
        <v>234.62</v>
      </c>
      <c r="M2" s="136">
        <v>234.62</v>
      </c>
      <c r="N2" s="136">
        <v>242.31</v>
      </c>
      <c r="O2" s="136"/>
      <c r="P2" s="136"/>
      <c r="Q2" s="150"/>
    </row>
    <row r="3" spans="1:17" x14ac:dyDescent="0.25">
      <c r="A3" s="131" t="s">
        <v>204</v>
      </c>
      <c r="B3" s="136">
        <v>117.31</v>
      </c>
      <c r="C3" s="136">
        <v>119.23</v>
      </c>
      <c r="D3" s="136">
        <v>123.08</v>
      </c>
      <c r="E3" s="136">
        <v>126.92</v>
      </c>
      <c r="F3" s="136">
        <v>130.77000000000001</v>
      </c>
      <c r="G3" s="136">
        <v>134.62</v>
      </c>
      <c r="H3" s="136">
        <v>140.38</v>
      </c>
      <c r="I3" s="136">
        <v>140.38</v>
      </c>
      <c r="J3" s="136">
        <v>142.30000000000001</v>
      </c>
      <c r="K3" s="136">
        <v>146.15</v>
      </c>
      <c r="L3" s="136">
        <v>150</v>
      </c>
      <c r="M3" s="136">
        <v>150</v>
      </c>
      <c r="N3" s="136">
        <v>153.84</v>
      </c>
      <c r="O3" s="136"/>
      <c r="P3" s="136"/>
      <c r="Q3" s="150"/>
    </row>
    <row r="4" spans="1:17" x14ac:dyDescent="0.25">
      <c r="A4" s="131" t="s">
        <v>205</v>
      </c>
      <c r="B4" s="136">
        <v>44.23</v>
      </c>
      <c r="C4" s="136">
        <v>46.15</v>
      </c>
      <c r="D4" s="136">
        <v>48.08</v>
      </c>
      <c r="E4" s="136">
        <v>48.08</v>
      </c>
      <c r="F4" s="136">
        <v>50</v>
      </c>
      <c r="G4" s="136">
        <v>51.92</v>
      </c>
      <c r="H4" s="136">
        <v>53.85</v>
      </c>
      <c r="I4" s="136">
        <v>53.85</v>
      </c>
      <c r="J4" s="136">
        <v>55.77</v>
      </c>
      <c r="K4" s="136">
        <v>55.77</v>
      </c>
      <c r="L4" s="136">
        <v>57.69</v>
      </c>
      <c r="M4" s="136">
        <v>57.69</v>
      </c>
      <c r="N4" s="136">
        <v>59.62</v>
      </c>
      <c r="O4" s="136"/>
      <c r="P4" s="136"/>
      <c r="Q4" s="150"/>
    </row>
    <row r="5" spans="1:17" x14ac:dyDescent="0.25">
      <c r="A5" s="131" t="s">
        <v>206</v>
      </c>
      <c r="B5" s="136">
        <v>88.46</v>
      </c>
      <c r="C5" s="136">
        <v>92.31</v>
      </c>
      <c r="D5" s="136">
        <v>96.15</v>
      </c>
      <c r="E5" s="136">
        <v>96.15</v>
      </c>
      <c r="F5" s="136">
        <v>100</v>
      </c>
      <c r="G5" s="136">
        <v>103.84</v>
      </c>
      <c r="H5" s="136">
        <v>107.69</v>
      </c>
      <c r="I5" s="136">
        <v>107.69</v>
      </c>
      <c r="J5" s="136">
        <v>111.54</v>
      </c>
      <c r="K5" s="136">
        <v>111.54</v>
      </c>
      <c r="L5" s="136">
        <v>115.38</v>
      </c>
      <c r="M5" s="136">
        <v>115.38</v>
      </c>
      <c r="N5" s="136">
        <v>119.23</v>
      </c>
      <c r="O5" s="136"/>
      <c r="P5" s="136"/>
      <c r="Q5" s="150"/>
    </row>
    <row r="6" spans="1:17" x14ac:dyDescent="0.25">
      <c r="A6" s="131" t="s">
        <v>299</v>
      </c>
      <c r="B6" s="136">
        <v>88.46</v>
      </c>
      <c r="C6" s="136">
        <v>92.31</v>
      </c>
      <c r="D6" s="136">
        <v>96.15</v>
      </c>
      <c r="E6" s="136">
        <v>96.15</v>
      </c>
      <c r="F6" s="136">
        <v>100</v>
      </c>
      <c r="G6" s="136">
        <v>103.84</v>
      </c>
      <c r="H6" s="136">
        <v>107.69</v>
      </c>
      <c r="I6" s="136">
        <v>107.69</v>
      </c>
      <c r="J6" s="136">
        <v>111.54</v>
      </c>
      <c r="K6" s="136">
        <v>111.54</v>
      </c>
      <c r="L6" s="136">
        <v>115.38</v>
      </c>
      <c r="M6" s="136">
        <v>115.38</v>
      </c>
      <c r="N6" s="136">
        <v>119.23</v>
      </c>
      <c r="O6" s="136"/>
      <c r="P6" s="136"/>
      <c r="Q6" s="150"/>
    </row>
    <row r="7" spans="1:17" x14ac:dyDescent="0.25">
      <c r="A7" s="132" t="s">
        <v>300</v>
      </c>
      <c r="B7" s="137">
        <v>88.46</v>
      </c>
      <c r="C7" s="137">
        <v>92.31</v>
      </c>
      <c r="D7" s="137">
        <v>96.15</v>
      </c>
      <c r="E7" s="137">
        <v>96.15</v>
      </c>
      <c r="F7" s="137">
        <v>100</v>
      </c>
      <c r="G7" s="137">
        <v>103.84</v>
      </c>
      <c r="H7" s="137">
        <v>107.69</v>
      </c>
      <c r="I7" s="137">
        <v>107.69</v>
      </c>
      <c r="J7" s="137">
        <v>111.54</v>
      </c>
      <c r="K7" s="137">
        <v>111.54</v>
      </c>
      <c r="L7" s="137">
        <v>115.38</v>
      </c>
      <c r="M7" s="137">
        <v>115.38</v>
      </c>
      <c r="N7" s="137">
        <v>119.23</v>
      </c>
      <c r="O7" s="137"/>
      <c r="P7" s="137"/>
      <c r="Q7" s="151"/>
    </row>
    <row r="8" spans="1:17" x14ac:dyDescent="0.25">
      <c r="A8" s="131" t="s">
        <v>207</v>
      </c>
      <c r="B8" s="136">
        <v>269.23</v>
      </c>
      <c r="C8" s="136">
        <v>275</v>
      </c>
      <c r="D8" s="136">
        <v>280.77</v>
      </c>
      <c r="E8" s="136">
        <v>290.39</v>
      </c>
      <c r="F8" s="136">
        <v>301.92</v>
      </c>
      <c r="G8" s="136">
        <v>307.69</v>
      </c>
      <c r="H8" s="136">
        <v>321.14999999999998</v>
      </c>
      <c r="I8" s="136">
        <v>323.08</v>
      </c>
      <c r="J8" s="136">
        <v>326.93</v>
      </c>
      <c r="K8" s="136">
        <v>334.62</v>
      </c>
      <c r="L8" s="136">
        <v>344.23</v>
      </c>
      <c r="M8" s="136">
        <v>344.23</v>
      </c>
      <c r="N8" s="136">
        <v>355.78</v>
      </c>
      <c r="O8" s="136"/>
      <c r="P8" s="136"/>
      <c r="Q8" s="150"/>
    </row>
    <row r="9" spans="1:17" x14ac:dyDescent="0.25">
      <c r="A9" s="131" t="s">
        <v>208</v>
      </c>
      <c r="B9" s="138">
        <f t="shared" ref="B9:C13" si="0">B3</f>
        <v>117.31</v>
      </c>
      <c r="C9" s="138">
        <f t="shared" si="0"/>
        <v>119.23</v>
      </c>
      <c r="D9" s="138">
        <f t="shared" ref="D9:K9" si="1">D3</f>
        <v>123.08</v>
      </c>
      <c r="E9" s="138">
        <f t="shared" si="1"/>
        <v>126.92</v>
      </c>
      <c r="F9" s="138">
        <f t="shared" si="1"/>
        <v>130.77000000000001</v>
      </c>
      <c r="G9" s="138">
        <f t="shared" si="1"/>
        <v>134.62</v>
      </c>
      <c r="H9" s="138">
        <f t="shared" si="1"/>
        <v>140.38</v>
      </c>
      <c r="I9" s="138">
        <f t="shared" si="1"/>
        <v>140.38</v>
      </c>
      <c r="J9" s="138">
        <f t="shared" si="1"/>
        <v>142.30000000000001</v>
      </c>
      <c r="K9" s="138">
        <f t="shared" si="1"/>
        <v>146.15</v>
      </c>
      <c r="L9" s="138">
        <f t="shared" ref="L9:M13" si="2">L3</f>
        <v>150</v>
      </c>
      <c r="M9" s="138">
        <f t="shared" si="2"/>
        <v>150</v>
      </c>
      <c r="N9" s="138">
        <f t="shared" ref="N9" si="3">N3</f>
        <v>153.84</v>
      </c>
      <c r="O9" s="138"/>
      <c r="P9" s="138"/>
      <c r="Q9" s="152"/>
    </row>
    <row r="10" spans="1:17" x14ac:dyDescent="0.25">
      <c r="A10" s="131" t="s">
        <v>209</v>
      </c>
      <c r="B10" s="138">
        <f t="shared" si="0"/>
        <v>44.23</v>
      </c>
      <c r="C10" s="138">
        <f t="shared" si="0"/>
        <v>46.15</v>
      </c>
      <c r="D10" s="138">
        <f t="shared" ref="D10:K10" si="4">D4</f>
        <v>48.08</v>
      </c>
      <c r="E10" s="138">
        <f t="shared" si="4"/>
        <v>48.08</v>
      </c>
      <c r="F10" s="138">
        <f t="shared" si="4"/>
        <v>50</v>
      </c>
      <c r="G10" s="138">
        <f t="shared" si="4"/>
        <v>51.92</v>
      </c>
      <c r="H10" s="138">
        <f t="shared" si="4"/>
        <v>53.85</v>
      </c>
      <c r="I10" s="138">
        <f t="shared" si="4"/>
        <v>53.85</v>
      </c>
      <c r="J10" s="138">
        <f t="shared" si="4"/>
        <v>55.77</v>
      </c>
      <c r="K10" s="138">
        <f t="shared" si="4"/>
        <v>55.77</v>
      </c>
      <c r="L10" s="138">
        <f t="shared" si="2"/>
        <v>57.69</v>
      </c>
      <c r="M10" s="138">
        <f t="shared" si="2"/>
        <v>57.69</v>
      </c>
      <c r="N10" s="138">
        <f t="shared" ref="N10" si="5">N4</f>
        <v>59.62</v>
      </c>
      <c r="O10" s="138"/>
      <c r="P10" s="138"/>
      <c r="Q10" s="152"/>
    </row>
    <row r="11" spans="1:17" x14ac:dyDescent="0.25">
      <c r="A11" s="131" t="s">
        <v>210</v>
      </c>
      <c r="B11" s="138">
        <f t="shared" si="0"/>
        <v>88.46</v>
      </c>
      <c r="C11" s="138">
        <f t="shared" si="0"/>
        <v>92.31</v>
      </c>
      <c r="D11" s="138">
        <f t="shared" ref="D11:K13" si="6">D5</f>
        <v>96.15</v>
      </c>
      <c r="E11" s="138">
        <f t="shared" si="6"/>
        <v>96.15</v>
      </c>
      <c r="F11" s="138">
        <f t="shared" si="6"/>
        <v>100</v>
      </c>
      <c r="G11" s="138">
        <f t="shared" si="6"/>
        <v>103.84</v>
      </c>
      <c r="H11" s="138">
        <f t="shared" si="6"/>
        <v>107.69</v>
      </c>
      <c r="I11" s="138">
        <f t="shared" si="6"/>
        <v>107.69</v>
      </c>
      <c r="J11" s="138">
        <f t="shared" si="6"/>
        <v>111.54</v>
      </c>
      <c r="K11" s="138">
        <f t="shared" si="6"/>
        <v>111.54</v>
      </c>
      <c r="L11" s="138">
        <f t="shared" si="2"/>
        <v>115.38</v>
      </c>
      <c r="M11" s="138">
        <f t="shared" si="2"/>
        <v>115.38</v>
      </c>
      <c r="N11" s="138">
        <f t="shared" ref="N11" si="7">N5</f>
        <v>119.23</v>
      </c>
      <c r="O11" s="138"/>
      <c r="P11" s="138"/>
      <c r="Q11" s="152"/>
    </row>
    <row r="12" spans="1:17" x14ac:dyDescent="0.25">
      <c r="A12" s="131" t="s">
        <v>301</v>
      </c>
      <c r="B12" s="138">
        <f t="shared" si="0"/>
        <v>88.46</v>
      </c>
      <c r="C12" s="138">
        <f t="shared" si="0"/>
        <v>92.31</v>
      </c>
      <c r="D12" s="138">
        <f t="shared" si="6"/>
        <v>96.15</v>
      </c>
      <c r="E12" s="138">
        <f t="shared" si="6"/>
        <v>96.15</v>
      </c>
      <c r="F12" s="138">
        <f t="shared" si="6"/>
        <v>100</v>
      </c>
      <c r="G12" s="138">
        <f t="shared" si="6"/>
        <v>103.84</v>
      </c>
      <c r="H12" s="138">
        <f t="shared" si="6"/>
        <v>107.69</v>
      </c>
      <c r="I12" s="138">
        <f t="shared" si="6"/>
        <v>107.69</v>
      </c>
      <c r="J12" s="138">
        <f t="shared" si="6"/>
        <v>111.54</v>
      </c>
      <c r="K12" s="138">
        <f t="shared" si="6"/>
        <v>111.54</v>
      </c>
      <c r="L12" s="138">
        <f t="shared" si="2"/>
        <v>115.38</v>
      </c>
      <c r="M12" s="138">
        <f t="shared" si="2"/>
        <v>115.38</v>
      </c>
      <c r="N12" s="138">
        <f t="shared" ref="N12" si="8">N6</f>
        <v>119.23</v>
      </c>
      <c r="O12" s="138"/>
      <c r="P12" s="138"/>
      <c r="Q12" s="152"/>
    </row>
    <row r="13" spans="1:17" x14ac:dyDescent="0.25">
      <c r="A13" s="132" t="s">
        <v>302</v>
      </c>
      <c r="B13" s="139">
        <f t="shared" si="0"/>
        <v>88.46</v>
      </c>
      <c r="C13" s="139">
        <f t="shared" si="0"/>
        <v>92.31</v>
      </c>
      <c r="D13" s="139">
        <f t="shared" si="6"/>
        <v>96.15</v>
      </c>
      <c r="E13" s="139">
        <f t="shared" si="6"/>
        <v>96.15</v>
      </c>
      <c r="F13" s="139">
        <f t="shared" si="6"/>
        <v>100</v>
      </c>
      <c r="G13" s="139">
        <f t="shared" si="6"/>
        <v>103.84</v>
      </c>
      <c r="H13" s="139">
        <f t="shared" si="6"/>
        <v>107.69</v>
      </c>
      <c r="I13" s="139">
        <f t="shared" si="6"/>
        <v>107.69</v>
      </c>
      <c r="J13" s="139">
        <f t="shared" si="6"/>
        <v>111.54</v>
      </c>
      <c r="K13" s="139">
        <f t="shared" si="6"/>
        <v>111.54</v>
      </c>
      <c r="L13" s="139">
        <f t="shared" si="2"/>
        <v>115.38</v>
      </c>
      <c r="M13" s="139">
        <f t="shared" si="2"/>
        <v>115.38</v>
      </c>
      <c r="N13" s="139">
        <f t="shared" ref="N13" si="9">N7</f>
        <v>119.23</v>
      </c>
      <c r="O13" s="139"/>
      <c r="P13" s="139"/>
      <c r="Q13" s="153"/>
    </row>
    <row r="14" spans="1:17" x14ac:dyDescent="0.25">
      <c r="A14" s="131" t="s">
        <v>211</v>
      </c>
      <c r="B14" s="136">
        <v>305.77</v>
      </c>
      <c r="C14" s="136">
        <v>373.08</v>
      </c>
      <c r="D14" s="136">
        <v>384.62</v>
      </c>
      <c r="E14" s="136">
        <v>396.15</v>
      </c>
      <c r="F14" s="136">
        <v>411.54</v>
      </c>
      <c r="G14" s="136">
        <v>419.23</v>
      </c>
      <c r="H14" s="136">
        <v>438.46</v>
      </c>
      <c r="I14" s="136">
        <v>438.46</v>
      </c>
      <c r="J14" s="136">
        <v>446.16</v>
      </c>
      <c r="K14" s="136">
        <v>457.7</v>
      </c>
      <c r="L14" s="136">
        <v>469.23</v>
      </c>
      <c r="M14" s="136">
        <v>469.23</v>
      </c>
      <c r="N14" s="136">
        <v>484.62</v>
      </c>
      <c r="O14" s="136"/>
      <c r="P14" s="136"/>
      <c r="Q14" s="150"/>
    </row>
    <row r="15" spans="1:17" x14ac:dyDescent="0.25">
      <c r="A15" s="131" t="s">
        <v>212</v>
      </c>
      <c r="B15" s="138">
        <f>B3</f>
        <v>117.31</v>
      </c>
      <c r="C15" s="138">
        <f>C3</f>
        <v>119.23</v>
      </c>
      <c r="D15" s="138">
        <f t="shared" ref="D15:K15" si="10">D3</f>
        <v>123.08</v>
      </c>
      <c r="E15" s="138">
        <f t="shared" si="10"/>
        <v>126.92</v>
      </c>
      <c r="F15" s="138">
        <f t="shared" si="10"/>
        <v>130.77000000000001</v>
      </c>
      <c r="G15" s="138">
        <f t="shared" si="10"/>
        <v>134.62</v>
      </c>
      <c r="H15" s="138">
        <f t="shared" si="10"/>
        <v>140.38</v>
      </c>
      <c r="I15" s="138">
        <f t="shared" si="10"/>
        <v>140.38</v>
      </c>
      <c r="J15" s="138">
        <f t="shared" si="10"/>
        <v>142.30000000000001</v>
      </c>
      <c r="K15" s="138">
        <f t="shared" si="10"/>
        <v>146.15</v>
      </c>
      <c r="L15" s="138">
        <f>L3</f>
        <v>150</v>
      </c>
      <c r="M15" s="138">
        <f>M3</f>
        <v>150</v>
      </c>
      <c r="N15" s="138">
        <f>N3</f>
        <v>153.84</v>
      </c>
      <c r="O15" s="138"/>
      <c r="P15" s="138"/>
      <c r="Q15" s="152"/>
    </row>
    <row r="16" spans="1:17" x14ac:dyDescent="0.25">
      <c r="A16" s="131" t="s">
        <v>213</v>
      </c>
      <c r="B16" s="136">
        <v>36.54</v>
      </c>
      <c r="C16" s="136">
        <v>36.54</v>
      </c>
      <c r="D16" s="136">
        <v>38.46</v>
      </c>
      <c r="E16" s="136">
        <v>38.46</v>
      </c>
      <c r="F16" s="136">
        <v>40.380000000000003</v>
      </c>
      <c r="G16" s="136">
        <v>40.380000000000003</v>
      </c>
      <c r="H16" s="136">
        <v>42.31</v>
      </c>
      <c r="I16" s="136">
        <v>42.31</v>
      </c>
      <c r="J16" s="136">
        <v>44.23</v>
      </c>
      <c r="K16" s="136">
        <v>44.23</v>
      </c>
      <c r="L16" s="136">
        <v>46.15</v>
      </c>
      <c r="M16" s="136">
        <v>46.15</v>
      </c>
      <c r="N16" s="136">
        <v>48.08</v>
      </c>
      <c r="O16" s="136"/>
      <c r="P16" s="136"/>
      <c r="Q16" s="150"/>
    </row>
    <row r="17" spans="1:17" x14ac:dyDescent="0.25">
      <c r="A17" s="131" t="s">
        <v>214</v>
      </c>
      <c r="B17" s="136">
        <v>73.08</v>
      </c>
      <c r="C17" s="136">
        <v>73.08</v>
      </c>
      <c r="D17" s="136">
        <v>76.92</v>
      </c>
      <c r="E17" s="136">
        <v>76.92</v>
      </c>
      <c r="F17" s="136">
        <v>80.77</v>
      </c>
      <c r="G17" s="136">
        <v>80.77</v>
      </c>
      <c r="H17" s="136">
        <v>84.62</v>
      </c>
      <c r="I17" s="136">
        <v>84.62</v>
      </c>
      <c r="J17" s="136">
        <v>88.46</v>
      </c>
      <c r="K17" s="136">
        <v>88.46</v>
      </c>
      <c r="L17" s="136">
        <v>92.31</v>
      </c>
      <c r="M17" s="136">
        <v>92.31</v>
      </c>
      <c r="N17" s="136">
        <v>96.15</v>
      </c>
      <c r="O17" s="136"/>
      <c r="P17" s="136"/>
      <c r="Q17" s="150"/>
    </row>
    <row r="18" spans="1:17" x14ac:dyDescent="0.25">
      <c r="A18" s="131" t="s">
        <v>219</v>
      </c>
      <c r="B18" s="136">
        <v>109.62</v>
      </c>
      <c r="C18" s="136">
        <v>109.62</v>
      </c>
      <c r="D18" s="136">
        <v>115.38</v>
      </c>
      <c r="E18" s="136">
        <v>115.38</v>
      </c>
      <c r="F18" s="136">
        <v>121.15</v>
      </c>
      <c r="G18" s="136">
        <v>121.15</v>
      </c>
      <c r="H18" s="136">
        <v>126.92</v>
      </c>
      <c r="I18" s="136">
        <v>126.92</v>
      </c>
      <c r="J18" s="136">
        <v>132.69</v>
      </c>
      <c r="K18" s="136">
        <v>132.69</v>
      </c>
      <c r="L18" s="136">
        <v>138.46</v>
      </c>
      <c r="M18" s="136">
        <v>138.46</v>
      </c>
      <c r="N18" s="136">
        <v>144.22999999999999</v>
      </c>
      <c r="O18" s="136"/>
      <c r="P18" s="136"/>
      <c r="Q18" s="150"/>
    </row>
    <row r="19" spans="1:17" x14ac:dyDescent="0.25">
      <c r="A19" s="132" t="s">
        <v>220</v>
      </c>
      <c r="B19" s="137">
        <v>146.15</v>
      </c>
      <c r="C19" s="137">
        <v>146.15</v>
      </c>
      <c r="D19" s="137">
        <v>153.85</v>
      </c>
      <c r="E19" s="137">
        <v>153.85</v>
      </c>
      <c r="F19" s="137">
        <v>161.54</v>
      </c>
      <c r="G19" s="137">
        <v>161.54</v>
      </c>
      <c r="H19" s="137">
        <v>169.23</v>
      </c>
      <c r="I19" s="137">
        <v>169.23</v>
      </c>
      <c r="J19" s="137">
        <v>176.92</v>
      </c>
      <c r="K19" s="137">
        <v>176.92</v>
      </c>
      <c r="L19" s="137">
        <v>184.62</v>
      </c>
      <c r="M19" s="137">
        <v>184.62</v>
      </c>
      <c r="N19" s="137">
        <v>192.31</v>
      </c>
      <c r="O19" s="137"/>
      <c r="P19" s="137"/>
      <c r="Q19" s="151"/>
    </row>
    <row r="20" spans="1:17" x14ac:dyDescent="0.25">
      <c r="A20" s="131" t="s">
        <v>215</v>
      </c>
      <c r="B20" s="136">
        <v>152.88</v>
      </c>
      <c r="C20" s="138">
        <f t="shared" ref="C20:J20" si="11">C2</f>
        <v>186.54</v>
      </c>
      <c r="D20" s="138">
        <f t="shared" si="11"/>
        <v>192.31</v>
      </c>
      <c r="E20" s="138">
        <f t="shared" si="11"/>
        <v>198.08</v>
      </c>
      <c r="F20" s="138">
        <f t="shared" si="11"/>
        <v>205.77</v>
      </c>
      <c r="G20" s="138">
        <f t="shared" si="11"/>
        <v>209.62</v>
      </c>
      <c r="H20" s="138">
        <f t="shared" si="11"/>
        <v>219.23</v>
      </c>
      <c r="I20" s="138">
        <f t="shared" si="11"/>
        <v>219.23</v>
      </c>
      <c r="J20" s="138">
        <f t="shared" si="11"/>
        <v>223.08</v>
      </c>
      <c r="K20" s="138">
        <f>K2</f>
        <v>228.85</v>
      </c>
      <c r="L20" s="138">
        <f>L2</f>
        <v>234.62</v>
      </c>
      <c r="M20" s="138">
        <f>M2</f>
        <v>234.62</v>
      </c>
      <c r="N20" s="138">
        <f>N2</f>
        <v>242.31</v>
      </c>
      <c r="O20" s="138"/>
      <c r="P20" s="138"/>
      <c r="Q20" s="152"/>
    </row>
    <row r="21" spans="1:17" x14ac:dyDescent="0.25">
      <c r="A21" s="131" t="s">
        <v>216</v>
      </c>
      <c r="B21" s="138">
        <f>B3</f>
        <v>117.31</v>
      </c>
      <c r="C21" s="138">
        <f>C3</f>
        <v>119.23</v>
      </c>
      <c r="D21" s="138">
        <f t="shared" ref="D21:K21" si="12">D3</f>
        <v>123.08</v>
      </c>
      <c r="E21" s="138">
        <f t="shared" si="12"/>
        <v>126.92</v>
      </c>
      <c r="F21" s="138">
        <f t="shared" si="12"/>
        <v>130.77000000000001</v>
      </c>
      <c r="G21" s="138">
        <f t="shared" si="12"/>
        <v>134.62</v>
      </c>
      <c r="H21" s="138">
        <f t="shared" si="12"/>
        <v>140.38</v>
      </c>
      <c r="I21" s="138">
        <f t="shared" si="12"/>
        <v>140.38</v>
      </c>
      <c r="J21" s="138">
        <f t="shared" si="12"/>
        <v>142.30000000000001</v>
      </c>
      <c r="K21" s="138">
        <f t="shared" si="12"/>
        <v>146.15</v>
      </c>
      <c r="L21" s="138">
        <f>L3</f>
        <v>150</v>
      </c>
      <c r="M21" s="138">
        <f>M3</f>
        <v>150</v>
      </c>
      <c r="N21" s="138">
        <f>N3</f>
        <v>153.84</v>
      </c>
      <c r="O21" s="138"/>
      <c r="P21" s="138"/>
      <c r="Q21" s="152"/>
    </row>
    <row r="22" spans="1:17" x14ac:dyDescent="0.25">
      <c r="A22" s="131" t="s">
        <v>217</v>
      </c>
      <c r="B22" s="138">
        <f t="shared" ref="B22:C25" si="13">B16</f>
        <v>36.54</v>
      </c>
      <c r="C22" s="138">
        <f t="shared" si="13"/>
        <v>36.54</v>
      </c>
      <c r="D22" s="138">
        <f t="shared" ref="D22:K22" si="14">D16</f>
        <v>38.46</v>
      </c>
      <c r="E22" s="138">
        <f t="shared" si="14"/>
        <v>38.46</v>
      </c>
      <c r="F22" s="138">
        <f t="shared" si="14"/>
        <v>40.380000000000003</v>
      </c>
      <c r="G22" s="138">
        <f t="shared" si="14"/>
        <v>40.380000000000003</v>
      </c>
      <c r="H22" s="138">
        <f t="shared" si="14"/>
        <v>42.31</v>
      </c>
      <c r="I22" s="138">
        <f t="shared" si="14"/>
        <v>42.31</v>
      </c>
      <c r="J22" s="138">
        <f t="shared" si="14"/>
        <v>44.23</v>
      </c>
      <c r="K22" s="138">
        <f t="shared" si="14"/>
        <v>44.23</v>
      </c>
      <c r="L22" s="138">
        <f t="shared" ref="L22:M25" si="15">L16</f>
        <v>46.15</v>
      </c>
      <c r="M22" s="138">
        <f t="shared" si="15"/>
        <v>46.15</v>
      </c>
      <c r="N22" s="138">
        <f t="shared" ref="N22" si="16">N16</f>
        <v>48.08</v>
      </c>
      <c r="O22" s="138"/>
      <c r="P22" s="138"/>
      <c r="Q22" s="152"/>
    </row>
    <row r="23" spans="1:17" x14ac:dyDescent="0.25">
      <c r="A23" s="131" t="s">
        <v>218</v>
      </c>
      <c r="B23" s="138">
        <f t="shared" si="13"/>
        <v>73.08</v>
      </c>
      <c r="C23" s="138">
        <f t="shared" si="13"/>
        <v>73.08</v>
      </c>
      <c r="D23" s="138">
        <f t="shared" ref="D23:K23" si="17">D17</f>
        <v>76.92</v>
      </c>
      <c r="E23" s="138">
        <f t="shared" si="17"/>
        <v>76.92</v>
      </c>
      <c r="F23" s="138">
        <f t="shared" si="17"/>
        <v>80.77</v>
      </c>
      <c r="G23" s="138">
        <f t="shared" si="17"/>
        <v>80.77</v>
      </c>
      <c r="H23" s="138">
        <f t="shared" si="17"/>
        <v>84.62</v>
      </c>
      <c r="I23" s="138">
        <f t="shared" si="17"/>
        <v>84.62</v>
      </c>
      <c r="J23" s="138">
        <f t="shared" si="17"/>
        <v>88.46</v>
      </c>
      <c r="K23" s="138">
        <f t="shared" si="17"/>
        <v>88.46</v>
      </c>
      <c r="L23" s="138">
        <f t="shared" si="15"/>
        <v>92.31</v>
      </c>
      <c r="M23" s="138">
        <f t="shared" si="15"/>
        <v>92.31</v>
      </c>
      <c r="N23" s="138">
        <f t="shared" ref="N23" si="18">N17</f>
        <v>96.15</v>
      </c>
      <c r="O23" s="138"/>
      <c r="P23" s="138"/>
      <c r="Q23" s="152"/>
    </row>
    <row r="24" spans="1:17" x14ac:dyDescent="0.25">
      <c r="A24" s="131" t="s">
        <v>221</v>
      </c>
      <c r="B24" s="138">
        <f t="shared" si="13"/>
        <v>109.62</v>
      </c>
      <c r="C24" s="138">
        <f t="shared" si="13"/>
        <v>109.62</v>
      </c>
      <c r="D24" s="138">
        <f t="shared" ref="D24:K24" si="19">D18</f>
        <v>115.38</v>
      </c>
      <c r="E24" s="138">
        <f t="shared" si="19"/>
        <v>115.38</v>
      </c>
      <c r="F24" s="138">
        <f t="shared" si="19"/>
        <v>121.15</v>
      </c>
      <c r="G24" s="138">
        <f t="shared" si="19"/>
        <v>121.15</v>
      </c>
      <c r="H24" s="138">
        <f t="shared" si="19"/>
        <v>126.92</v>
      </c>
      <c r="I24" s="138">
        <f t="shared" si="19"/>
        <v>126.92</v>
      </c>
      <c r="J24" s="138">
        <f t="shared" si="19"/>
        <v>132.69</v>
      </c>
      <c r="K24" s="138">
        <f t="shared" si="19"/>
        <v>132.69</v>
      </c>
      <c r="L24" s="138">
        <f t="shared" si="15"/>
        <v>138.46</v>
      </c>
      <c r="M24" s="138">
        <f t="shared" si="15"/>
        <v>138.46</v>
      </c>
      <c r="N24" s="138">
        <f t="shared" ref="N24" si="20">N18</f>
        <v>144.22999999999999</v>
      </c>
      <c r="O24" s="138"/>
      <c r="P24" s="138"/>
      <c r="Q24" s="152"/>
    </row>
    <row r="25" spans="1:17" ht="15.75" thickBot="1" x14ac:dyDescent="0.3">
      <c r="A25" s="133" t="s">
        <v>222</v>
      </c>
      <c r="B25" s="154">
        <f t="shared" si="13"/>
        <v>146.15</v>
      </c>
      <c r="C25" s="154">
        <f t="shared" si="13"/>
        <v>146.15</v>
      </c>
      <c r="D25" s="154">
        <f t="shared" ref="D25:K25" si="21">D19</f>
        <v>153.85</v>
      </c>
      <c r="E25" s="154">
        <f t="shared" si="21"/>
        <v>153.85</v>
      </c>
      <c r="F25" s="154">
        <f t="shared" si="21"/>
        <v>161.54</v>
      </c>
      <c r="G25" s="154">
        <f t="shared" si="21"/>
        <v>161.54</v>
      </c>
      <c r="H25" s="154">
        <f t="shared" si="21"/>
        <v>169.23</v>
      </c>
      <c r="I25" s="154">
        <f t="shared" si="21"/>
        <v>169.23</v>
      </c>
      <c r="J25" s="154">
        <f t="shared" si="21"/>
        <v>176.92</v>
      </c>
      <c r="K25" s="154">
        <f t="shared" si="21"/>
        <v>176.92</v>
      </c>
      <c r="L25" s="154">
        <f t="shared" si="15"/>
        <v>184.62</v>
      </c>
      <c r="M25" s="154">
        <f t="shared" si="15"/>
        <v>184.62</v>
      </c>
      <c r="N25" s="154">
        <f t="shared" ref="N25" si="22">N19</f>
        <v>192.31</v>
      </c>
      <c r="O25" s="154"/>
      <c r="P25" s="154"/>
      <c r="Q25" s="155"/>
    </row>
    <row r="26" spans="1:17" x14ac:dyDescent="0.25">
      <c r="A26" s="134"/>
      <c r="C26" s="134"/>
      <c r="D26" s="134"/>
      <c r="E26" s="134"/>
      <c r="F26" s="134"/>
      <c r="G26" s="134"/>
    </row>
    <row r="27" spans="1:17" x14ac:dyDescent="0.25">
      <c r="A27" s="134"/>
      <c r="C27" s="134"/>
      <c r="D27" s="134"/>
      <c r="E27" s="134"/>
      <c r="F27" s="134"/>
      <c r="G27" s="134"/>
    </row>
    <row r="28" spans="1:17" x14ac:dyDescent="0.25">
      <c r="A28" s="134"/>
      <c r="C28" s="134"/>
      <c r="D28" s="134"/>
      <c r="E28" s="134"/>
      <c r="F28" s="134"/>
      <c r="G28" s="134"/>
    </row>
    <row r="29" spans="1:17" ht="15.75" thickBot="1" x14ac:dyDescent="0.3">
      <c r="A29" s="134" t="s">
        <v>225</v>
      </c>
    </row>
    <row r="30" spans="1:17" x14ac:dyDescent="0.25">
      <c r="A30" s="144" t="s">
        <v>6</v>
      </c>
    </row>
    <row r="31" spans="1:17" x14ac:dyDescent="0.25">
      <c r="A31" s="145" t="s">
        <v>196</v>
      </c>
    </row>
    <row r="32" spans="1:17" x14ac:dyDescent="0.25">
      <c r="A32" s="145" t="s">
        <v>197</v>
      </c>
    </row>
    <row r="33" spans="1:12" ht="15.75" thickBot="1" x14ac:dyDescent="0.3">
      <c r="A33" s="146" t="s">
        <v>198</v>
      </c>
    </row>
    <row r="34" spans="1:12" ht="15.75" thickBot="1" x14ac:dyDescent="0.3"/>
    <row r="35" spans="1:12" x14ac:dyDescent="0.25">
      <c r="A35" s="168" t="s">
        <v>244</v>
      </c>
      <c r="B35" s="156" t="s">
        <v>227</v>
      </c>
      <c r="D35" s="168" t="s">
        <v>245</v>
      </c>
      <c r="G35" s="156" t="s">
        <v>227</v>
      </c>
      <c r="I35" s="168" t="s">
        <v>246</v>
      </c>
      <c r="L35" s="156" t="s">
        <v>227</v>
      </c>
    </row>
    <row r="36" spans="1:12" ht="15.75" thickBot="1" x14ac:dyDescent="0.3">
      <c r="A36" t="s">
        <v>224</v>
      </c>
      <c r="B36" s="157">
        <f>ESTIMATOR!F68</f>
        <v>2015</v>
      </c>
      <c r="D36" s="163" t="s">
        <v>224</v>
      </c>
      <c r="G36" s="167">
        <f>ESTIMATOR!F69</f>
        <v>2015</v>
      </c>
      <c r="I36" s="163" t="s">
        <v>224</v>
      </c>
      <c r="L36" s="167">
        <f>ESTIMATOR!F70</f>
        <v>2015</v>
      </c>
    </row>
    <row r="37" spans="1:12" x14ac:dyDescent="0.25">
      <c r="A37" s="126" t="str">
        <f>ESTIMATOR!$G$68&amp;"- "&amp;"Fixed Exemption"</f>
        <v>Single- Fixed Exemption</v>
      </c>
      <c r="B37" s="140">
        <f>VLOOKUP($A37,'LEVY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242.31</v>
      </c>
      <c r="D37" s="164" t="str">
        <f>ESTIMATOR!$G$69&amp;"- "&amp;"Fixed Exemption"</f>
        <v>Single- Fixed Exemption</v>
      </c>
      <c r="E37" s="95"/>
      <c r="F37" s="95"/>
      <c r="G37" s="140">
        <f>VLOOKUP($D37,'LEVY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242.31</v>
      </c>
      <c r="I37" s="164" t="str">
        <f>ESTIMATOR!$G$70&amp;"- "&amp;"Fixed Exemption"</f>
        <v>Single- Fixed Exemption</v>
      </c>
      <c r="J37" s="95"/>
      <c r="K37" s="95"/>
      <c r="L37" s="140">
        <f>VLOOKUP($I37,'LEVY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242.31</v>
      </c>
    </row>
    <row r="38" spans="1:12" x14ac:dyDescent="0.25">
      <c r="A38" s="141" t="str">
        <f>ESTIMATOR!$G$68&amp;"- "&amp;"Variable Exemption"</f>
        <v>Single- Variable Exemption</v>
      </c>
      <c r="B38" s="142">
        <f>VLOOKUP($A38,'LEVY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153.84</v>
      </c>
      <c r="D38" s="165" t="str">
        <f>ESTIMATOR!$G$69&amp;"- "&amp;"Variable Exemption"</f>
        <v>Single- Variable Exemption</v>
      </c>
      <c r="E38" s="99"/>
      <c r="F38" s="99"/>
      <c r="G38" s="142">
        <f>VLOOKUP($D38,'LEVY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153.84</v>
      </c>
      <c r="I38" s="165" t="str">
        <f>ESTIMATOR!$G$70&amp;"- "&amp;"Variable Exemption"</f>
        <v>Single- Variable Exemption</v>
      </c>
      <c r="J38" s="99"/>
      <c r="K38" s="99"/>
      <c r="L38" s="142">
        <f>VLOOKUP($I38,'LEVY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153.84</v>
      </c>
    </row>
    <row r="39" spans="1:12" x14ac:dyDescent="0.25">
      <c r="A39" s="141" t="str">
        <f>ESTIMATOR!$G$68&amp;"- "&amp;"1 Additional Exemption"</f>
        <v>Single- 1 Additional Exemption</v>
      </c>
      <c r="B39" s="142">
        <f>VLOOKUP($A39,'LEVY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59.62</v>
      </c>
      <c r="D39" s="165" t="str">
        <f>ESTIMATOR!$G$69&amp;"- "&amp;"1 Additional Exemption"</f>
        <v>Single- 1 Additional Exemption</v>
      </c>
      <c r="E39" s="99"/>
      <c r="F39" s="99"/>
      <c r="G39" s="142">
        <f>VLOOKUP($D39,'LEVY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59.62</v>
      </c>
      <c r="I39" s="165" t="str">
        <f>ESTIMATOR!$G$70&amp;"- "&amp;"1 Additional Exemption"</f>
        <v>Single- 1 Additional Exemption</v>
      </c>
      <c r="J39" s="99"/>
      <c r="K39" s="99"/>
      <c r="L39" s="142">
        <f>VLOOKUP($I39,'LEVY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59.62</v>
      </c>
    </row>
    <row r="40" spans="1:12" x14ac:dyDescent="0.25">
      <c r="A40" s="141" t="str">
        <f>ESTIMATOR!$G$68&amp;"- "&amp;"2 Additional Exemptions"</f>
        <v>Single- 2 Additional Exemptions</v>
      </c>
      <c r="B40" s="142">
        <f>VLOOKUP($A40,'LEVY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119.23</v>
      </c>
      <c r="D40" s="165" t="str">
        <f>ESTIMATOR!$G$69&amp;"- "&amp;"2 Additional Exemptions"</f>
        <v>Single- 2 Additional Exemptions</v>
      </c>
      <c r="E40" s="99"/>
      <c r="F40" s="99"/>
      <c r="G40" s="142">
        <f>VLOOKUP($D40,'LEVY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119.23</v>
      </c>
      <c r="I40" s="165" t="str">
        <f>ESTIMATOR!$G$70&amp;"- "&amp;"2 Additional Exemptions"</f>
        <v>Single- 2 Additional Exemptions</v>
      </c>
      <c r="J40" s="99"/>
      <c r="K40" s="99"/>
      <c r="L40" s="142">
        <f>VLOOKUP($I40,'LEVY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119.23</v>
      </c>
    </row>
    <row r="41" spans="1:12" x14ac:dyDescent="0.25">
      <c r="A41" s="141" t="str">
        <f>ESTIMATOR!$G$68&amp;"- "&amp;"3 Additional Exemptions"</f>
        <v>Single- 3 Additional Exemptions</v>
      </c>
      <c r="B41" s="142">
        <f>VLOOKUP($A41,'LEVY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119.23</v>
      </c>
      <c r="D41" s="165" t="str">
        <f>ESTIMATOR!$G$69&amp;"- "&amp;"3 Additional Exemptions"</f>
        <v>Single- 3 Additional Exemptions</v>
      </c>
      <c r="E41" s="99"/>
      <c r="F41" s="99"/>
      <c r="G41" s="142">
        <f>VLOOKUP($D41,'LEVY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119.23</v>
      </c>
      <c r="I41" s="165" t="str">
        <f>ESTIMATOR!$G$70&amp;"- "&amp;"3 Additional Exemptions"</f>
        <v>Single- 3 Additional Exemptions</v>
      </c>
      <c r="J41" s="99"/>
      <c r="K41" s="99"/>
      <c r="L41" s="142">
        <f>VLOOKUP($I41,'LEVY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119.23</v>
      </c>
    </row>
    <row r="42" spans="1:12" ht="15.75" thickBot="1" x14ac:dyDescent="0.3">
      <c r="A42" s="127" t="str">
        <f>ESTIMATOR!$G$68&amp;"- "&amp;"4 Additional Exemptions"</f>
        <v>Single- 4 Additional Exemptions</v>
      </c>
      <c r="B42" s="143">
        <f>VLOOKUP($A42,'LEVY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119.23</v>
      </c>
      <c r="D42" s="166" t="str">
        <f>ESTIMATOR!$G$69&amp;"- "&amp;"4 Additional Exemptions"</f>
        <v>Single- 4 Additional Exemptions</v>
      </c>
      <c r="E42" s="104"/>
      <c r="F42" s="104"/>
      <c r="G42" s="143">
        <f>VLOOKUP($D42,'LEVY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119.23</v>
      </c>
      <c r="I42" s="166" t="str">
        <f>ESTIMATOR!$G$70&amp;"- "&amp;"4 Additional Exemptions"</f>
        <v>Single- 4 Additional Exemptions</v>
      </c>
      <c r="J42" s="104"/>
      <c r="K42" s="104"/>
      <c r="L42" s="143">
        <f>VLOOKUP($I42,'LEVY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119.23</v>
      </c>
    </row>
  </sheetData>
  <sheetProtection password="8E71" sheet="1" objects="1" scenarios="1"/>
  <pageMargins left="0.25" right="0.25" top="0.75" bottom="0.25" header="0.3" footer="0.3"/>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C47"/>
  <sheetViews>
    <sheetView topLeftCell="A13" workbookViewId="0">
      <selection activeCell="F35" sqref="F35"/>
    </sheetView>
  </sheetViews>
  <sheetFormatPr defaultRowHeight="15" x14ac:dyDescent="0.25"/>
  <cols>
    <col min="2" max="2" width="42.140625" customWidth="1"/>
    <col min="3" max="3" width="9" bestFit="1" customWidth="1"/>
    <col min="4" max="4" width="8.140625" customWidth="1"/>
  </cols>
  <sheetData>
    <row r="1" spans="2:3" x14ac:dyDescent="0.25">
      <c r="B1" t="s">
        <v>136</v>
      </c>
      <c r="C1" t="s">
        <v>137</v>
      </c>
    </row>
    <row r="2" spans="2:3" x14ac:dyDescent="0.25">
      <c r="C2" t="s">
        <v>135</v>
      </c>
    </row>
    <row r="4" spans="2:3" x14ac:dyDescent="0.25">
      <c r="B4" t="s">
        <v>172</v>
      </c>
      <c r="C4">
        <v>1.5</v>
      </c>
    </row>
    <row r="5" spans="2:3" x14ac:dyDescent="0.25">
      <c r="C5" s="120">
        <v>1</v>
      </c>
    </row>
    <row r="7" spans="2:3" x14ac:dyDescent="0.25">
      <c r="B7" t="s">
        <v>8</v>
      </c>
      <c r="C7" t="s">
        <v>6</v>
      </c>
    </row>
    <row r="8" spans="2:3" x14ac:dyDescent="0.25">
      <c r="C8" t="s">
        <v>7</v>
      </c>
    </row>
    <row r="11" spans="2:3" x14ac:dyDescent="0.25">
      <c r="B11" t="s">
        <v>5</v>
      </c>
      <c r="C11" s="1">
        <v>5.0999999999999997E-2</v>
      </c>
    </row>
    <row r="12" spans="2:3" x14ac:dyDescent="0.25">
      <c r="C12" s="1">
        <v>4.2000000000000003E-2</v>
      </c>
    </row>
    <row r="13" spans="2:3" x14ac:dyDescent="0.25">
      <c r="C13" s="1">
        <v>3.5999999999999997E-2</v>
      </c>
    </row>
    <row r="14" spans="2:3" x14ac:dyDescent="0.25">
      <c r="C14" s="1">
        <v>2.7E-2</v>
      </c>
    </row>
    <row r="15" spans="2:3" x14ac:dyDescent="0.25">
      <c r="C15" s="1">
        <v>1.7999999999999999E-2</v>
      </c>
    </row>
    <row r="16" spans="2:3" x14ac:dyDescent="0.25">
      <c r="C16" s="1">
        <v>1.2999999999999999E-2</v>
      </c>
    </row>
    <row r="17" spans="2:3" x14ac:dyDescent="0.25">
      <c r="C17" s="1">
        <v>8.0000000000000002E-3</v>
      </c>
    </row>
    <row r="18" spans="2:3" x14ac:dyDescent="0.25">
      <c r="C18" s="1">
        <v>0</v>
      </c>
    </row>
    <row r="20" spans="2:3" x14ac:dyDescent="0.25">
      <c r="B20" t="s">
        <v>159</v>
      </c>
    </row>
    <row r="21" spans="2:3" x14ac:dyDescent="0.25">
      <c r="B21" t="s">
        <v>160</v>
      </c>
    </row>
    <row r="23" spans="2:3" x14ac:dyDescent="0.25">
      <c r="B23" s="3" t="s">
        <v>24</v>
      </c>
    </row>
    <row r="24" spans="2:3" x14ac:dyDescent="0.25">
      <c r="B24" s="16" t="s">
        <v>12</v>
      </c>
    </row>
    <row r="25" spans="2:3" x14ac:dyDescent="0.25">
      <c r="B25" s="16" t="s">
        <v>16</v>
      </c>
    </row>
    <row r="26" spans="2:3" x14ac:dyDescent="0.25">
      <c r="B26" s="16" t="s">
        <v>14</v>
      </c>
    </row>
    <row r="27" spans="2:3" x14ac:dyDescent="0.25">
      <c r="B27" s="16" t="s">
        <v>15</v>
      </c>
    </row>
    <row r="28" spans="2:3" x14ac:dyDescent="0.25">
      <c r="B28" s="16" t="s">
        <v>191</v>
      </c>
    </row>
    <row r="32" spans="2:3" x14ac:dyDescent="0.25">
      <c r="B32" s="2" t="s">
        <v>267</v>
      </c>
      <c r="C32" t="s">
        <v>255</v>
      </c>
    </row>
    <row r="33" spans="2:3" x14ac:dyDescent="0.25">
      <c r="B33" s="2"/>
      <c r="C33" t="s">
        <v>268</v>
      </c>
    </row>
    <row r="34" spans="2:3" x14ac:dyDescent="0.25">
      <c r="B34" s="2"/>
      <c r="C34" t="s">
        <v>269</v>
      </c>
    </row>
    <row r="35" spans="2:3" x14ac:dyDescent="0.25">
      <c r="B35" s="2"/>
      <c r="C35" t="s">
        <v>271</v>
      </c>
    </row>
    <row r="36" spans="2:3" x14ac:dyDescent="0.25">
      <c r="B36" s="2"/>
    </row>
    <row r="38" spans="2:3" x14ac:dyDescent="0.25">
      <c r="B38" t="s">
        <v>180</v>
      </c>
      <c r="C38" s="129">
        <v>0.15</v>
      </c>
    </row>
    <row r="39" spans="2:3" x14ac:dyDescent="0.25">
      <c r="C39" s="129"/>
    </row>
    <row r="41" spans="2:3" x14ac:dyDescent="0.25">
      <c r="B41" s="2" t="s">
        <v>176</v>
      </c>
      <c r="C41" s="128">
        <v>0.25</v>
      </c>
    </row>
    <row r="42" spans="2:3" x14ac:dyDescent="0.25">
      <c r="C42" s="128">
        <v>0.15</v>
      </c>
    </row>
    <row r="44" spans="2:3" x14ac:dyDescent="0.25">
      <c r="B44" t="s">
        <v>315</v>
      </c>
      <c r="C44" s="264">
        <v>1</v>
      </c>
    </row>
    <row r="45" spans="2:3" x14ac:dyDescent="0.25">
      <c r="C45" s="264">
        <v>2</v>
      </c>
    </row>
    <row r="46" spans="2:3" x14ac:dyDescent="0.25">
      <c r="C46" s="264">
        <v>3</v>
      </c>
    </row>
    <row r="47" spans="2:3" x14ac:dyDescent="0.25">
      <c r="C47" s="264">
        <v>5</v>
      </c>
    </row>
  </sheetData>
  <sheetProtection password="8E71"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ESTIMATOR</vt:lpstr>
      <vt:lpstr>CHART</vt:lpstr>
      <vt:lpstr>WAGE BASE</vt:lpstr>
      <vt:lpstr>CYCLES</vt:lpstr>
      <vt:lpstr>PRIORITIES</vt:lpstr>
      <vt:lpstr>TAX TABLES</vt:lpstr>
      <vt:lpstr>LEVY TABLES</vt:lpstr>
      <vt:lpstr>OPTIONS</vt:lpstr>
      <vt:lpstr>Sheet1</vt:lpstr>
      <vt:lpstr>ASRSeligibleWage</vt:lpstr>
      <vt:lpstr>CORPeligibleWage</vt:lpstr>
      <vt:lpstr>DisposableIncomeBKSOCG</vt:lpstr>
      <vt:lpstr>DisposableIncomeFSLAWG</vt:lpstr>
      <vt:lpstr>DisposableIncomeTaxLevy</vt:lpstr>
      <vt:lpstr>EORPeligibleWage</vt:lpstr>
      <vt:lpstr>FederalTaxableWage</vt:lpstr>
      <vt:lpstr>FICATaxable</vt:lpstr>
      <vt:lpstr>CYCLES!Print_Area</vt:lpstr>
      <vt:lpstr>ESTIMATOR!Print_Area</vt:lpstr>
      <vt:lpstr>PRIORITIES!Print_Area</vt:lpstr>
      <vt:lpstr>'TAX TABLES'!Print_Area</vt:lpstr>
      <vt:lpstr>'WAGE BASE'!Print_Area</vt:lpstr>
      <vt:lpstr>PSRSeligibleWage</vt:lpstr>
    </vt:vector>
  </TitlesOfParts>
  <Company>AZDOT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 Wilbur</dc:creator>
  <cp:lastModifiedBy>Stu Wilbur</cp:lastModifiedBy>
  <cp:lastPrinted>2014-05-21T17:57:56Z</cp:lastPrinted>
  <dcterms:created xsi:type="dcterms:W3CDTF">2013-01-30T19:32:32Z</dcterms:created>
  <dcterms:modified xsi:type="dcterms:W3CDTF">2016-05-20T20:40:10Z</dcterms:modified>
</cp:coreProperties>
</file>