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Shared drives\ADOA_GAO_Payroll\Plan\MASTER GAO FORMS\PAYCHECK ESTIMATOR\BFY2023\"/>
    </mc:Choice>
  </mc:AlternateContent>
  <workbookProtection workbookAlgorithmName="SHA-512" workbookHashValue="NGHHhey0ZxbO1Q+zoi40ajFGVp8uhlm4LgAGmrS53P2m30M0L+iwhan35SBOVM69SWGzF7F67R9khc8QHUNsbQ==" workbookSaltValue="xwgX1sQpn7h2NeUlytX2iQ==" workbookSpinCount="100000" lockStructure="1"/>
  <bookViews>
    <workbookView xWindow="0" yWindow="0" windowWidth="15360" windowHeight="7320" tabRatio="690"/>
  </bookViews>
  <sheets>
    <sheet name="ESTIMATOR" sheetId="1" r:id="rId1"/>
    <sheet name="CHART" sheetId="11" r:id="rId2"/>
    <sheet name="WAGE BASE" sheetId="12" r:id="rId3"/>
    <sheet name="CYCLES" sheetId="13" r:id="rId4"/>
    <sheet name="PRIORITIES" sheetId="9" r:id="rId5"/>
    <sheet name="TAX TABLES" sheetId="6" r:id="rId6"/>
    <sheet name="RETIREMENT" sheetId="16" r:id="rId7"/>
    <sheet name="LEVY TABLES" sheetId="8" r:id="rId8"/>
    <sheet name="OPTIONS" sheetId="2" state="hidden" r:id="rId9"/>
    <sheet name="Sheet1" sheetId="14" state="hidden" r:id="rId10"/>
  </sheets>
  <definedNames>
    <definedName name="_xlnm._FilterDatabase" localSheetId="6" hidden="1">RETIREMENT!$A$6:$N$41</definedName>
    <definedName name="ASRSeligibleWage">'WAGE BASE'!$H$31</definedName>
    <definedName name="CORPeligibleWage">'WAGE BASE'!$J$31</definedName>
    <definedName name="DisposableIncomeBKSOCG">'WAGE BASE'!$L$88</definedName>
    <definedName name="DisposableIncomeFSLAWG">'WAGE BASE'!$N$88</definedName>
    <definedName name="DisposableIncomeTaxLevy">'WAGE BASE'!$M$88</definedName>
    <definedName name="EORPeligibleWage">'WAGE BASE'!$K$31</definedName>
    <definedName name="FederalTaxableWage">'WAGE BASE'!$F$49</definedName>
    <definedName name="FICATaxable">'WAGE BASE'!$G$51</definedName>
    <definedName name="_xlnm.Print_Area" localSheetId="3">CYCLES!$B$2:$P$47</definedName>
    <definedName name="_xlnm.Print_Area" localSheetId="0">ESTIMATOR!$A$1:$AD$94</definedName>
    <definedName name="_xlnm.Print_Area" localSheetId="4">PRIORITIES!$B$2:$K$49</definedName>
    <definedName name="_xlnm.Print_Area" localSheetId="6">RETIREMENT!$A$1:$AC$54</definedName>
    <definedName name="_xlnm.Print_Area" localSheetId="5">'TAX TABLES'!$A$1:$AJ$175</definedName>
    <definedName name="_xlnm.Print_Area" localSheetId="2">'WAGE BASE'!$B$2:$P$90</definedName>
    <definedName name="PSRSeligibleWage">'WAGE BASE'!$I$31</definedName>
    <definedName name="solver_adj" localSheetId="3" hidden="1">CYCLES!#REF!</definedName>
    <definedName name="solver_adj" localSheetId="0" hidden="1">ESTIMATOR!$AA$43</definedName>
    <definedName name="solver_adj" localSheetId="4" hidden="1">PRIORITIES!#REF!</definedName>
    <definedName name="solver_adj" localSheetId="2" hidden="1">'WAGE BASE'!#REF!</definedName>
    <definedName name="solver_cvg" localSheetId="3" hidden="1">0.0001</definedName>
    <definedName name="solver_cvg" localSheetId="0" hidden="1">0.0001</definedName>
    <definedName name="solver_cvg" localSheetId="4" hidden="1">0.0001</definedName>
    <definedName name="solver_cvg" localSheetId="2" hidden="1">0.0001</definedName>
    <definedName name="solver_drv" localSheetId="3" hidden="1">1</definedName>
    <definedName name="solver_drv" localSheetId="0" hidden="1">1</definedName>
    <definedName name="solver_drv" localSheetId="4" hidden="1">1</definedName>
    <definedName name="solver_drv" localSheetId="2" hidden="1">1</definedName>
    <definedName name="solver_eng" localSheetId="3" hidden="1">2</definedName>
    <definedName name="solver_eng" localSheetId="0" hidden="1">2</definedName>
    <definedName name="solver_eng" localSheetId="4" hidden="1">2</definedName>
    <definedName name="solver_eng" localSheetId="2" hidden="1">2</definedName>
    <definedName name="solver_est" localSheetId="3" hidden="1">1</definedName>
    <definedName name="solver_est" localSheetId="0" hidden="1">1</definedName>
    <definedName name="solver_est" localSheetId="4" hidden="1">1</definedName>
    <definedName name="solver_est" localSheetId="2" hidden="1">1</definedName>
    <definedName name="solver_itr" localSheetId="3" hidden="1">2147483647</definedName>
    <definedName name="solver_itr" localSheetId="0" hidden="1">2147483647</definedName>
    <definedName name="solver_itr" localSheetId="4" hidden="1">2147483647</definedName>
    <definedName name="solver_itr" localSheetId="2" hidden="1">2147483647</definedName>
    <definedName name="solver_lhs1" localSheetId="0" hidden="1">ESTIMATOR!$AA$88</definedName>
    <definedName name="solver_lhs1" localSheetId="2" hidden="1">'WAGE BASE'!#REF!</definedName>
    <definedName name="solver_mip" localSheetId="3" hidden="1">2147483647</definedName>
    <definedName name="solver_mip" localSheetId="0" hidden="1">2147483647</definedName>
    <definedName name="solver_mip" localSheetId="4" hidden="1">2147483647</definedName>
    <definedName name="solver_mip" localSheetId="2" hidden="1">2147483647</definedName>
    <definedName name="solver_mni" localSheetId="3" hidden="1">30</definedName>
    <definedName name="solver_mni" localSheetId="0" hidden="1">30</definedName>
    <definedName name="solver_mni" localSheetId="4" hidden="1">30</definedName>
    <definedName name="solver_mni" localSheetId="2" hidden="1">30</definedName>
    <definedName name="solver_mrt" localSheetId="3" hidden="1">0.075</definedName>
    <definedName name="solver_mrt" localSheetId="0" hidden="1">0.075</definedName>
    <definedName name="solver_mrt" localSheetId="4" hidden="1">0.075</definedName>
    <definedName name="solver_mrt" localSheetId="2" hidden="1">0.075</definedName>
    <definedName name="solver_msl" localSheetId="3" hidden="1">2</definedName>
    <definedName name="solver_msl" localSheetId="0" hidden="1">2</definedName>
    <definedName name="solver_msl" localSheetId="4" hidden="1">2</definedName>
    <definedName name="solver_msl" localSheetId="2" hidden="1">2</definedName>
    <definedName name="solver_neg" localSheetId="3" hidden="1">1</definedName>
    <definedName name="solver_neg" localSheetId="0" hidden="1">1</definedName>
    <definedName name="solver_neg" localSheetId="4" hidden="1">1</definedName>
    <definedName name="solver_neg" localSheetId="2" hidden="1">1</definedName>
    <definedName name="solver_nod" localSheetId="3" hidden="1">2147483647</definedName>
    <definedName name="solver_nod" localSheetId="0" hidden="1">2147483647</definedName>
    <definedName name="solver_nod" localSheetId="4" hidden="1">2147483647</definedName>
    <definedName name="solver_nod" localSheetId="2" hidden="1">2147483647</definedName>
    <definedName name="solver_num" localSheetId="3" hidden="1">0</definedName>
    <definedName name="solver_num" localSheetId="0" hidden="1">1</definedName>
    <definedName name="solver_num" localSheetId="4" hidden="1">0</definedName>
    <definedName name="solver_num" localSheetId="2" hidden="1">1</definedName>
    <definedName name="solver_nwt" localSheetId="3" hidden="1">1</definedName>
    <definedName name="solver_nwt" localSheetId="0" hidden="1">1</definedName>
    <definedName name="solver_nwt" localSheetId="4" hidden="1">1</definedName>
    <definedName name="solver_nwt" localSheetId="2" hidden="1">1</definedName>
    <definedName name="solver_opt" localSheetId="3" hidden="1">CYCLES!#REF!</definedName>
    <definedName name="solver_opt" localSheetId="0" hidden="1">ESTIMATOR!$AA$88</definedName>
    <definedName name="solver_opt" localSheetId="4" hidden="1">PRIORITIES!#REF!</definedName>
    <definedName name="solver_opt" localSheetId="2" hidden="1">'WAGE BASE'!#REF!</definedName>
    <definedName name="solver_pre" localSheetId="3" hidden="1">0.000001</definedName>
    <definedName name="solver_pre" localSheetId="0" hidden="1">0.000001</definedName>
    <definedName name="solver_pre" localSheetId="4" hidden="1">0.000001</definedName>
    <definedName name="solver_pre" localSheetId="2" hidden="1">0.000001</definedName>
    <definedName name="solver_rbv" localSheetId="3" hidden="1">1</definedName>
    <definedName name="solver_rbv" localSheetId="0" hidden="1">1</definedName>
    <definedName name="solver_rbv" localSheetId="4" hidden="1">1</definedName>
    <definedName name="solver_rbv" localSheetId="2" hidden="1">1</definedName>
    <definedName name="solver_rel1" localSheetId="0" hidden="1">2</definedName>
    <definedName name="solver_rel1" localSheetId="2" hidden="1">2</definedName>
    <definedName name="solver_rhs1" localSheetId="0" hidden="1">0</definedName>
    <definedName name="solver_rhs1" localSheetId="2" hidden="1">0</definedName>
    <definedName name="solver_rlx" localSheetId="3" hidden="1">2</definedName>
    <definedName name="solver_rlx" localSheetId="0" hidden="1">2</definedName>
    <definedName name="solver_rlx" localSheetId="4" hidden="1">2</definedName>
    <definedName name="solver_rlx" localSheetId="2" hidden="1">2</definedName>
    <definedName name="solver_rsd" localSheetId="3" hidden="1">0</definedName>
    <definedName name="solver_rsd" localSheetId="0" hidden="1">0</definedName>
    <definedName name="solver_rsd" localSheetId="4" hidden="1">0</definedName>
    <definedName name="solver_rsd" localSheetId="2" hidden="1">0</definedName>
    <definedName name="solver_scl" localSheetId="3" hidden="1">1</definedName>
    <definedName name="solver_scl" localSheetId="0" hidden="1">1</definedName>
    <definedName name="solver_scl" localSheetId="4" hidden="1">1</definedName>
    <definedName name="solver_scl" localSheetId="2" hidden="1">1</definedName>
    <definedName name="solver_sho" localSheetId="3" hidden="1">2</definedName>
    <definedName name="solver_sho" localSheetId="0" hidden="1">2</definedName>
    <definedName name="solver_sho" localSheetId="4" hidden="1">2</definedName>
    <definedName name="solver_sho" localSheetId="2" hidden="1">2</definedName>
    <definedName name="solver_ssz" localSheetId="3" hidden="1">100</definedName>
    <definedName name="solver_ssz" localSheetId="0" hidden="1">100</definedName>
    <definedName name="solver_ssz" localSheetId="4" hidden="1">100</definedName>
    <definedName name="solver_ssz" localSheetId="2" hidden="1">100</definedName>
    <definedName name="solver_tim" localSheetId="3" hidden="1">2147483647</definedName>
    <definedName name="solver_tim" localSheetId="0" hidden="1">2147483647</definedName>
    <definedName name="solver_tim" localSheetId="4" hidden="1">2147483647</definedName>
    <definedName name="solver_tim" localSheetId="2" hidden="1">2147483647</definedName>
    <definedName name="solver_tol" localSheetId="3" hidden="1">0.01</definedName>
    <definedName name="solver_tol" localSheetId="0" hidden="1">0.01</definedName>
    <definedName name="solver_tol" localSheetId="4" hidden="1">0.01</definedName>
    <definedName name="solver_tol" localSheetId="2" hidden="1">0.01</definedName>
    <definedName name="solver_typ" localSheetId="3" hidden="1">2</definedName>
    <definedName name="solver_typ" localSheetId="0" hidden="1">1</definedName>
    <definedName name="solver_typ" localSheetId="4" hidden="1">2</definedName>
    <definedName name="solver_typ" localSheetId="2" hidden="1">1</definedName>
    <definedName name="solver_val" localSheetId="3" hidden="1">100</definedName>
    <definedName name="solver_val" localSheetId="0" hidden="1">0</definedName>
    <definedName name="solver_val" localSheetId="4" hidden="1">100</definedName>
    <definedName name="solver_val" localSheetId="2" hidden="1">0</definedName>
    <definedName name="solver_ver" localSheetId="3" hidden="1">3</definedName>
    <definedName name="solver_ver" localSheetId="0" hidden="1">3</definedName>
    <definedName name="solver_ver" localSheetId="4" hidden="1">3</definedName>
    <definedName name="solver_ver" localSheetId="2" hidden="1">3</definedName>
  </definedNames>
  <calcPr calcId="162913"/>
</workbook>
</file>

<file path=xl/calcChain.xml><?xml version="1.0" encoding="utf-8"?>
<calcChain xmlns="http://schemas.openxmlformats.org/spreadsheetml/2006/main">
  <c r="L42" i="8" l="1"/>
  <c r="L41" i="8"/>
  <c r="L40" i="8"/>
  <c r="L39" i="8"/>
  <c r="L38" i="8"/>
  <c r="L37" i="8"/>
  <c r="G42" i="8"/>
  <c r="G41" i="8"/>
  <c r="G37" i="8"/>
  <c r="G38" i="8"/>
  <c r="G39" i="8"/>
  <c r="G40" i="8"/>
  <c r="B42" i="8"/>
  <c r="B41" i="8"/>
  <c r="B40" i="8"/>
  <c r="B39" i="8"/>
  <c r="B38" i="8"/>
  <c r="B37" i="8"/>
  <c r="U25" i="8"/>
  <c r="U24" i="8"/>
  <c r="U23" i="8"/>
  <c r="U22" i="8"/>
  <c r="U21" i="8"/>
  <c r="U20" i="8"/>
  <c r="U15" i="8"/>
  <c r="U13" i="8"/>
  <c r="U12" i="8"/>
  <c r="U11" i="8"/>
  <c r="U10" i="8"/>
  <c r="U9" i="8"/>
  <c r="Y14" i="1"/>
  <c r="S18" i="6"/>
  <c r="S14" i="6"/>
  <c r="B36" i="8" l="1"/>
  <c r="V25" i="8" l="1"/>
  <c r="V24" i="8"/>
  <c r="V23" i="8"/>
  <c r="V22" i="8"/>
  <c r="V21" i="8"/>
  <c r="V20" i="8"/>
  <c r="V15" i="8"/>
  <c r="V13" i="8"/>
  <c r="V12" i="8"/>
  <c r="V11" i="8"/>
  <c r="V10" i="8"/>
  <c r="V9" i="8"/>
  <c r="S25" i="8" l="1"/>
  <c r="S24" i="8"/>
  <c r="S23" i="8"/>
  <c r="S22" i="8"/>
  <c r="S21" i="8"/>
  <c r="S20" i="8"/>
  <c r="S15" i="8"/>
  <c r="S13" i="8"/>
  <c r="S12" i="8"/>
  <c r="S11" i="8"/>
  <c r="S10" i="8"/>
  <c r="S9" i="8"/>
  <c r="T25" i="8" l="1"/>
  <c r="T24" i="8"/>
  <c r="T23" i="8"/>
  <c r="T22" i="8"/>
  <c r="T21" i="8"/>
  <c r="T20" i="8"/>
  <c r="T15" i="8"/>
  <c r="T13" i="8"/>
  <c r="T12" i="8"/>
  <c r="T11" i="8"/>
  <c r="T10" i="8"/>
  <c r="T9" i="8"/>
  <c r="E62" i="6" l="1"/>
  <c r="F132" i="6" s="1"/>
  <c r="E61" i="6"/>
  <c r="F68" i="6" s="1"/>
  <c r="E60" i="6"/>
  <c r="F66" i="6" s="1"/>
  <c r="E59" i="6"/>
  <c r="F116" i="6" l="1"/>
  <c r="F94" i="6"/>
  <c r="F113" i="6"/>
  <c r="F114" i="6" s="1"/>
  <c r="F91" i="6"/>
  <c r="F92" i="6" s="1"/>
  <c r="E58" i="6"/>
  <c r="E57" i="6"/>
  <c r="F72" i="6" s="1"/>
  <c r="E56" i="6"/>
  <c r="E55" i="6"/>
  <c r="E54" i="6" l="1"/>
  <c r="F54" i="6" l="1"/>
  <c r="F69" i="6" s="1"/>
  <c r="F70" i="6" s="1"/>
  <c r="O44" i="6"/>
  <c r="V44" i="6" s="1"/>
  <c r="O43" i="6"/>
  <c r="V43" i="6" s="1"/>
  <c r="O42" i="6"/>
  <c r="V42" i="6" s="1"/>
  <c r="O41" i="6"/>
  <c r="V41" i="6" s="1"/>
  <c r="O40" i="6"/>
  <c r="V40" i="6" s="1"/>
  <c r="O39" i="6"/>
  <c r="V39" i="6" s="1"/>
  <c r="W38" i="6"/>
  <c r="O38" i="6"/>
  <c r="S39" i="6" s="1"/>
  <c r="O31" i="6"/>
  <c r="V31" i="6" s="1"/>
  <c r="O30" i="6"/>
  <c r="V30" i="6" s="1"/>
  <c r="O29" i="6"/>
  <c r="O28" i="6"/>
  <c r="V28" i="6" s="1"/>
  <c r="O27" i="6"/>
  <c r="V27" i="6" s="1"/>
  <c r="O26" i="6"/>
  <c r="W25" i="6"/>
  <c r="O25" i="6"/>
  <c r="V25" i="6" s="1"/>
  <c r="W12" i="6"/>
  <c r="O18" i="6"/>
  <c r="V18" i="6" s="1"/>
  <c r="O17" i="6"/>
  <c r="V17" i="6" s="1"/>
  <c r="O16" i="6"/>
  <c r="V16" i="6" s="1"/>
  <c r="O15" i="6"/>
  <c r="V15" i="6" s="1"/>
  <c r="O14" i="6"/>
  <c r="V14" i="6" s="1"/>
  <c r="O13" i="6"/>
  <c r="O12" i="6"/>
  <c r="V12" i="6" s="1"/>
  <c r="S40" i="6" l="1"/>
  <c r="S41" i="6" s="1"/>
  <c r="S42" i="6" s="1"/>
  <c r="S43" i="6" s="1"/>
  <c r="S44" i="6" s="1"/>
  <c r="V13" i="6"/>
  <c r="S15" i="6"/>
  <c r="S17" i="6" s="1"/>
  <c r="S26" i="6"/>
  <c r="S27" i="6" s="1"/>
  <c r="S28" i="6" s="1"/>
  <c r="S29" i="6" s="1"/>
  <c r="S30" i="6" s="1"/>
  <c r="V38" i="6"/>
  <c r="V26" i="6"/>
  <c r="V29" i="6"/>
  <c r="C44" i="6"/>
  <c r="J44" i="6" s="1"/>
  <c r="C43" i="6"/>
  <c r="J43" i="6" s="1"/>
  <c r="C42" i="6"/>
  <c r="J42" i="6" s="1"/>
  <c r="C41" i="6"/>
  <c r="J41" i="6" s="1"/>
  <c r="C40" i="6"/>
  <c r="J40" i="6" s="1"/>
  <c r="C39" i="6"/>
  <c r="J39" i="6" s="1"/>
  <c r="C38" i="6"/>
  <c r="J38" i="6" s="1"/>
  <c r="S31" i="6" l="1"/>
  <c r="G39" i="6"/>
  <c r="G40" i="6" s="1"/>
  <c r="G41" i="6" s="1"/>
  <c r="G42" i="6" s="1"/>
  <c r="G43" i="6" s="1"/>
  <c r="G44" i="6" s="1"/>
  <c r="R25" i="8" l="1"/>
  <c r="R24" i="8"/>
  <c r="R23" i="8"/>
  <c r="R22" i="8"/>
  <c r="R21" i="8"/>
  <c r="R20" i="8"/>
  <c r="R15" i="8"/>
  <c r="R13" i="8"/>
  <c r="R12" i="8"/>
  <c r="R11" i="8"/>
  <c r="R10" i="8"/>
  <c r="R9" i="8"/>
  <c r="V34" i="1" l="1"/>
  <c r="V78" i="1" l="1"/>
  <c r="Q25" i="8" l="1"/>
  <c r="Q24" i="8"/>
  <c r="Q23" i="8"/>
  <c r="Q22" i="8"/>
  <c r="Q21" i="8"/>
  <c r="Q20" i="8"/>
  <c r="Q15" i="8"/>
  <c r="P15" i="8"/>
  <c r="Q9" i="8"/>
  <c r="Q13" i="8"/>
  <c r="Q12" i="8"/>
  <c r="Q11" i="8"/>
  <c r="Q10" i="8"/>
  <c r="H34" i="1" l="1"/>
  <c r="P20" i="8" l="1"/>
  <c r="P21" i="8"/>
  <c r="P22" i="8"/>
  <c r="P23" i="8"/>
  <c r="P24" i="8"/>
  <c r="P25" i="8"/>
  <c r="P9" i="8"/>
  <c r="P10" i="8"/>
  <c r="P11" i="8"/>
  <c r="P12" i="8"/>
  <c r="P13" i="8"/>
  <c r="O25" i="8" l="1"/>
  <c r="O24" i="8"/>
  <c r="O23" i="8"/>
  <c r="O22" i="8"/>
  <c r="O21" i="8"/>
  <c r="O20" i="8"/>
  <c r="O15" i="8"/>
  <c r="O13" i="8"/>
  <c r="O12" i="8"/>
  <c r="O11" i="8"/>
  <c r="O10" i="8"/>
  <c r="O9" i="8"/>
  <c r="N25" i="8" l="1"/>
  <c r="N24" i="8"/>
  <c r="N23" i="8"/>
  <c r="N22" i="8"/>
  <c r="N21" i="8"/>
  <c r="N20" i="8"/>
  <c r="N15" i="8"/>
  <c r="N13" i="8"/>
  <c r="N12" i="8"/>
  <c r="N11" i="8"/>
  <c r="N10" i="8"/>
  <c r="N9" i="8"/>
  <c r="I42" i="8"/>
  <c r="I41" i="8"/>
  <c r="I40" i="8"/>
  <c r="I39" i="8"/>
  <c r="I38" i="8"/>
  <c r="I37" i="8"/>
  <c r="D42" i="8"/>
  <c r="D41" i="8"/>
  <c r="D40" i="8"/>
  <c r="D39" i="8"/>
  <c r="D38" i="8"/>
  <c r="D37" i="8"/>
  <c r="A37" i="8" l="1"/>
  <c r="H21" i="12" l="1"/>
  <c r="H22" i="12"/>
  <c r="H23" i="12"/>
  <c r="H24" i="12"/>
  <c r="H25" i="12"/>
  <c r="H20" i="12"/>
  <c r="L36" i="8" l="1"/>
  <c r="L25" i="8"/>
  <c r="L24" i="8"/>
  <c r="L23" i="8"/>
  <c r="L22" i="8"/>
  <c r="L21" i="8"/>
  <c r="L20" i="8"/>
  <c r="L15" i="8"/>
  <c r="L13" i="8"/>
  <c r="L12" i="8"/>
  <c r="L11" i="8"/>
  <c r="L10" i="8"/>
  <c r="L9" i="8"/>
  <c r="C31" i="6" l="1"/>
  <c r="C30" i="6"/>
  <c r="C29" i="6"/>
  <c r="C28" i="6"/>
  <c r="C27" i="6"/>
  <c r="C26" i="6"/>
  <c r="C25" i="6"/>
  <c r="C14" i="6"/>
  <c r="C15" i="6"/>
  <c r="C16" i="6"/>
  <c r="C17" i="6"/>
  <c r="C18" i="6"/>
  <c r="C13" i="6"/>
  <c r="C12" i="6"/>
  <c r="G13" i="6" l="1"/>
  <c r="A1" i="11"/>
  <c r="C1" i="11"/>
  <c r="Z14" i="1"/>
  <c r="AA14" i="1" s="1"/>
  <c r="H14" i="12" l="1"/>
  <c r="L14" i="12"/>
  <c r="F14" i="12"/>
  <c r="J14" i="12"/>
  <c r="N14" i="12"/>
  <c r="G14" i="12"/>
  <c r="K14" i="12"/>
  <c r="I14" i="12"/>
  <c r="M14" i="12"/>
  <c r="Y72" i="1"/>
  <c r="Z72" i="1" s="1"/>
  <c r="G21" i="9" s="1"/>
  <c r="W5" i="1"/>
  <c r="Y85" i="1" l="1"/>
  <c r="M85" i="12" l="1"/>
  <c r="Z85" i="1"/>
  <c r="M13" i="8"/>
  <c r="K13" i="8"/>
  <c r="J13" i="8"/>
  <c r="I13" i="8"/>
  <c r="H13" i="8"/>
  <c r="G13" i="8"/>
  <c r="F13" i="8"/>
  <c r="E13" i="8"/>
  <c r="D13" i="8"/>
  <c r="C13" i="8"/>
  <c r="B13" i="8"/>
  <c r="M12" i="8"/>
  <c r="K12" i="8"/>
  <c r="J12" i="8"/>
  <c r="I12" i="8"/>
  <c r="H12" i="8"/>
  <c r="G12" i="8"/>
  <c r="F12" i="8"/>
  <c r="E12" i="8"/>
  <c r="D12" i="8"/>
  <c r="C12" i="8"/>
  <c r="B12" i="8"/>
  <c r="Y82" i="1"/>
  <c r="O71" i="1"/>
  <c r="O67" i="1"/>
  <c r="N71" i="1"/>
  <c r="O57" i="1"/>
  <c r="N77" i="1"/>
  <c r="N76" i="1"/>
  <c r="N75" i="1"/>
  <c r="N74" i="1"/>
  <c r="N73" i="1"/>
  <c r="N66" i="1"/>
  <c r="N65" i="1"/>
  <c r="N64" i="1"/>
  <c r="N63" i="1"/>
  <c r="N62" i="1"/>
  <c r="N61" i="1"/>
  <c r="N60" i="1"/>
  <c r="N57" i="1"/>
  <c r="L62" i="1"/>
  <c r="Y59" i="1"/>
  <c r="Z59" i="1" s="1"/>
  <c r="G11" i="9" s="1"/>
  <c r="Y58" i="1"/>
  <c r="Z58" i="1" s="1"/>
  <c r="G12" i="9" s="1"/>
  <c r="Y84" i="1"/>
  <c r="Z84" i="1" s="1"/>
  <c r="G40" i="9" s="1"/>
  <c r="Y83" i="1"/>
  <c r="Z83" i="1" s="1"/>
  <c r="G39" i="9" s="1"/>
  <c r="Y81" i="1"/>
  <c r="Z81" i="1" s="1"/>
  <c r="G34" i="9" s="1"/>
  <c r="Y80" i="1"/>
  <c r="Z80" i="1" s="1"/>
  <c r="G33" i="9" s="1"/>
  <c r="Y79" i="1"/>
  <c r="Z79" i="1" s="1"/>
  <c r="G36" i="9" s="1"/>
  <c r="Y45" i="1"/>
  <c r="Y44" i="1"/>
  <c r="Y42" i="1"/>
  <c r="Y41" i="1"/>
  <c r="Z41" i="1" s="1"/>
  <c r="G32" i="9" s="1"/>
  <c r="Y40" i="1"/>
  <c r="Z40" i="1" s="1"/>
  <c r="G30" i="9" s="1"/>
  <c r="Y39" i="1"/>
  <c r="Z39" i="1" s="1"/>
  <c r="G31" i="9" s="1"/>
  <c r="Y38" i="1"/>
  <c r="Z38" i="1" s="1"/>
  <c r="G38" i="9" s="1"/>
  <c r="Y37" i="1"/>
  <c r="Z37" i="1" s="1"/>
  <c r="G29" i="9" s="1"/>
  <c r="Y36" i="1"/>
  <c r="Z36" i="1" s="1"/>
  <c r="G35" i="9" s="1"/>
  <c r="Y35" i="1"/>
  <c r="Z35" i="1" s="1"/>
  <c r="G37" i="9" s="1"/>
  <c r="Y30" i="1"/>
  <c r="Z30" i="1" s="1"/>
  <c r="AA30" i="1" s="1"/>
  <c r="Y29" i="1"/>
  <c r="Z29" i="1" s="1"/>
  <c r="AA29" i="1" s="1"/>
  <c r="Y28" i="1"/>
  <c r="Z28" i="1" s="1"/>
  <c r="Y26" i="1"/>
  <c r="Z26" i="1" s="1"/>
  <c r="AA26" i="1" s="1"/>
  <c r="Y25" i="1"/>
  <c r="Z25" i="1" s="1"/>
  <c r="AA25" i="1" s="1"/>
  <c r="Y24" i="1"/>
  <c r="Z24" i="1" s="1"/>
  <c r="AA24" i="1" s="1"/>
  <c r="Y23" i="1"/>
  <c r="Z23" i="1" s="1"/>
  <c r="AA23" i="1" s="1"/>
  <c r="Y22" i="1"/>
  <c r="Z22" i="1" s="1"/>
  <c r="AA22" i="1" s="1"/>
  <c r="Y21" i="1"/>
  <c r="Z21" i="1" s="1"/>
  <c r="AA21" i="1" s="1"/>
  <c r="Y20" i="1"/>
  <c r="Z20" i="1" s="1"/>
  <c r="AA20" i="1" s="1"/>
  <c r="Y19" i="1"/>
  <c r="Z19" i="1" s="1"/>
  <c r="AA19" i="1" s="1"/>
  <c r="Y18" i="1"/>
  <c r="Z18" i="1" s="1"/>
  <c r="AA18" i="1" s="1"/>
  <c r="Y17" i="1"/>
  <c r="Z17" i="1" s="1"/>
  <c r="AA17" i="1" s="1"/>
  <c r="Y16" i="1"/>
  <c r="Z16" i="1" s="1"/>
  <c r="AA16" i="1" s="1"/>
  <c r="Y15" i="1"/>
  <c r="Z15" i="1" s="1"/>
  <c r="AA15" i="1" s="1"/>
  <c r="Y13" i="1"/>
  <c r="Z13" i="1" s="1"/>
  <c r="AA13" i="1" s="1"/>
  <c r="Y12" i="1"/>
  <c r="Z12" i="1" s="1"/>
  <c r="AA12" i="1" s="1"/>
  <c r="Y11" i="1"/>
  <c r="Z11" i="1" s="1"/>
  <c r="AA11" i="1" s="1"/>
  <c r="Y10" i="1"/>
  <c r="Z10" i="1" s="1"/>
  <c r="AA10" i="1" s="1"/>
  <c r="Y9" i="1"/>
  <c r="Z9" i="1" s="1"/>
  <c r="AA9" i="1" s="1"/>
  <c r="Y8" i="1"/>
  <c r="Z8" i="1" s="1"/>
  <c r="AA8" i="1" s="1"/>
  <c r="Z44" i="1" l="1"/>
  <c r="G42" i="9" s="1"/>
  <c r="Z42" i="1"/>
  <c r="G44" i="9" s="1"/>
  <c r="W42" i="1"/>
  <c r="W82" i="1"/>
  <c r="Z82" i="1"/>
  <c r="G45" i="9" s="1"/>
  <c r="W45" i="1"/>
  <c r="Z45" i="1"/>
  <c r="AA28" i="1"/>
  <c r="L73" i="1"/>
  <c r="L77" i="1"/>
  <c r="L76" i="1"/>
  <c r="L75" i="1"/>
  <c r="L74" i="1"/>
  <c r="L61" i="1"/>
  <c r="L66" i="1"/>
  <c r="L65" i="1"/>
  <c r="L64" i="1"/>
  <c r="L63" i="1"/>
  <c r="Y27" i="1"/>
  <c r="Z27" i="1" s="1"/>
  <c r="AA27" i="1" s="1"/>
  <c r="G27" i="12"/>
  <c r="F27" i="12"/>
  <c r="Z31" i="1" l="1"/>
  <c r="G41" i="9"/>
  <c r="G43" i="9"/>
  <c r="Y31" i="1"/>
  <c r="M84" i="12"/>
  <c r="M83" i="12"/>
  <c r="M79" i="12"/>
  <c r="M81" i="12"/>
  <c r="M80" i="12"/>
  <c r="N35" i="12"/>
  <c r="M35" i="12"/>
  <c r="L35" i="12"/>
  <c r="N38" i="12"/>
  <c r="N37" i="12"/>
  <c r="N36" i="12"/>
  <c r="M45" i="12"/>
  <c r="M42" i="12"/>
  <c r="M44" i="12"/>
  <c r="M38" i="12"/>
  <c r="M41" i="12"/>
  <c r="M40" i="12"/>
  <c r="M39" i="12"/>
  <c r="M37" i="12"/>
  <c r="M36" i="12"/>
  <c r="G38" i="12"/>
  <c r="G41" i="12"/>
  <c r="G40" i="12"/>
  <c r="G39" i="12"/>
  <c r="G37" i="12"/>
  <c r="G36" i="12"/>
  <c r="F45" i="12"/>
  <c r="F42" i="12"/>
  <c r="F44" i="12"/>
  <c r="F38" i="12"/>
  <c r="F35" i="12"/>
  <c r="F41" i="12"/>
  <c r="F40" i="12"/>
  <c r="F39" i="12"/>
  <c r="F37" i="12"/>
  <c r="F36" i="12"/>
  <c r="G26" i="12"/>
  <c r="F26" i="12"/>
  <c r="K13" i="12"/>
  <c r="J13" i="12"/>
  <c r="I13" i="12"/>
  <c r="H13" i="12"/>
  <c r="G15" i="12"/>
  <c r="F15" i="12"/>
  <c r="G13" i="12"/>
  <c r="F13" i="12"/>
  <c r="N15" i="12"/>
  <c r="M15" i="12"/>
  <c r="L15" i="12"/>
  <c r="N13" i="12"/>
  <c r="M13" i="12"/>
  <c r="L13" i="12"/>
  <c r="G46" i="12" l="1"/>
  <c r="N8" i="12" l="1"/>
  <c r="J8" i="12"/>
  <c r="F8" i="12"/>
  <c r="I8" i="12"/>
  <c r="L8" i="12"/>
  <c r="G8" i="12"/>
  <c r="M8" i="12"/>
  <c r="H8" i="12"/>
  <c r="K8" i="12"/>
  <c r="G24" i="12" l="1"/>
  <c r="L24" i="12"/>
  <c r="N24" i="12"/>
  <c r="F24" i="12"/>
  <c r="M24" i="12"/>
  <c r="M25" i="12"/>
  <c r="L25" i="12"/>
  <c r="G25" i="12"/>
  <c r="N25" i="12"/>
  <c r="F25" i="12"/>
  <c r="E7" i="11"/>
  <c r="D7" i="11"/>
  <c r="C7" i="11"/>
  <c r="E8" i="11"/>
  <c r="D8" i="11"/>
  <c r="C8" i="11"/>
  <c r="G9" i="12" l="1"/>
  <c r="L9" i="12"/>
  <c r="F9" i="12"/>
  <c r="N9" i="12"/>
  <c r="I9" i="12"/>
  <c r="H9" i="12"/>
  <c r="M9" i="12"/>
  <c r="V53" i="1"/>
  <c r="V52" i="1"/>
  <c r="V51" i="1"/>
  <c r="H52" i="1"/>
  <c r="H51" i="1"/>
  <c r="B10" i="11" l="1"/>
  <c r="F10" i="11" s="1"/>
  <c r="G36" i="8"/>
  <c r="N69" i="1" l="1"/>
  <c r="N70" i="1"/>
  <c r="H16" i="12"/>
  <c r="F16" i="12"/>
  <c r="N16" i="12"/>
  <c r="J16" i="12"/>
  <c r="M16" i="12"/>
  <c r="L16" i="12"/>
  <c r="I16" i="12"/>
  <c r="G16" i="12"/>
  <c r="I17" i="12" l="1"/>
  <c r="L17" i="12"/>
  <c r="G17" i="12"/>
  <c r="F17" i="12"/>
  <c r="H17" i="12"/>
  <c r="N17" i="12"/>
  <c r="M17" i="12"/>
  <c r="J17" i="12"/>
  <c r="A42" i="8"/>
  <c r="A41" i="8"/>
  <c r="A40" i="8"/>
  <c r="A39" i="8"/>
  <c r="A38" i="8"/>
  <c r="C20" i="8"/>
  <c r="D20" i="8"/>
  <c r="E20" i="8"/>
  <c r="F20" i="8"/>
  <c r="G20" i="8"/>
  <c r="H20" i="8"/>
  <c r="I20" i="8"/>
  <c r="J20" i="8"/>
  <c r="K20" i="8"/>
  <c r="M20" i="8"/>
  <c r="M25" i="8"/>
  <c r="M24" i="8"/>
  <c r="M23" i="8"/>
  <c r="M22" i="8"/>
  <c r="M21" i="8"/>
  <c r="M15" i="8"/>
  <c r="M11" i="8"/>
  <c r="M10" i="8"/>
  <c r="M9" i="8"/>
  <c r="D9" i="8"/>
  <c r="E9" i="8"/>
  <c r="F9" i="8"/>
  <c r="G9" i="8"/>
  <c r="H9" i="8"/>
  <c r="I9" i="8"/>
  <c r="J9" i="8"/>
  <c r="K9" i="8"/>
  <c r="D10" i="8"/>
  <c r="E10" i="8"/>
  <c r="F10" i="8"/>
  <c r="G10" i="8"/>
  <c r="H10" i="8"/>
  <c r="I10" i="8"/>
  <c r="J10" i="8"/>
  <c r="K10" i="8"/>
  <c r="D11" i="8"/>
  <c r="E11" i="8"/>
  <c r="F11" i="8"/>
  <c r="G11" i="8"/>
  <c r="H11" i="8"/>
  <c r="I11" i="8"/>
  <c r="J11" i="8"/>
  <c r="K11" i="8"/>
  <c r="D15" i="8"/>
  <c r="E15" i="8"/>
  <c r="F15" i="8"/>
  <c r="G15" i="8"/>
  <c r="H15" i="8"/>
  <c r="I15" i="8"/>
  <c r="J15" i="8"/>
  <c r="K15" i="8"/>
  <c r="D21" i="8"/>
  <c r="E21" i="8"/>
  <c r="F21" i="8"/>
  <c r="G21" i="8"/>
  <c r="H21" i="8"/>
  <c r="I21" i="8"/>
  <c r="J21" i="8"/>
  <c r="K21" i="8"/>
  <c r="D22" i="8"/>
  <c r="E22" i="8"/>
  <c r="F22" i="8"/>
  <c r="G22" i="8"/>
  <c r="H22" i="8"/>
  <c r="I22" i="8"/>
  <c r="J22" i="8"/>
  <c r="K22" i="8"/>
  <c r="D23" i="8"/>
  <c r="E23" i="8"/>
  <c r="F23" i="8"/>
  <c r="G23" i="8"/>
  <c r="H23" i="8"/>
  <c r="I23" i="8"/>
  <c r="J23" i="8"/>
  <c r="K23" i="8"/>
  <c r="D24" i="8"/>
  <c r="E24" i="8"/>
  <c r="F24" i="8"/>
  <c r="G24" i="8"/>
  <c r="H24" i="8"/>
  <c r="I24" i="8"/>
  <c r="J24" i="8"/>
  <c r="K24" i="8"/>
  <c r="D25" i="8"/>
  <c r="E25" i="8"/>
  <c r="F25" i="8"/>
  <c r="G25" i="8"/>
  <c r="H25" i="8"/>
  <c r="I25" i="8"/>
  <c r="J25" i="8"/>
  <c r="K25" i="8"/>
  <c r="C9" i="8"/>
  <c r="C10" i="8"/>
  <c r="C11" i="8"/>
  <c r="C15" i="8"/>
  <c r="C21" i="8"/>
  <c r="C22" i="8"/>
  <c r="C23" i="8"/>
  <c r="C24" i="8"/>
  <c r="C25" i="8"/>
  <c r="B11" i="8"/>
  <c r="B10" i="8"/>
  <c r="B25" i="8"/>
  <c r="B24" i="8"/>
  <c r="B23" i="8"/>
  <c r="B22" i="8"/>
  <c r="B21" i="8"/>
  <c r="B15" i="8"/>
  <c r="B9" i="8"/>
  <c r="N68" i="1" l="1"/>
  <c r="N10" i="12"/>
  <c r="I10" i="12"/>
  <c r="M10" i="12"/>
  <c r="H10" i="12"/>
  <c r="L10" i="12"/>
  <c r="F10" i="12"/>
  <c r="J10" i="12"/>
  <c r="G10" i="12"/>
  <c r="J18" i="12" l="1"/>
  <c r="F18" i="12"/>
  <c r="M18" i="12"/>
  <c r="I18" i="12"/>
  <c r="N18" i="12"/>
  <c r="L18" i="12"/>
  <c r="H18" i="12"/>
  <c r="G18" i="12"/>
  <c r="K19" i="12"/>
  <c r="K31" i="12" s="1"/>
  <c r="N19" i="12"/>
  <c r="J19" i="12"/>
  <c r="M19" i="12"/>
  <c r="I19" i="12"/>
  <c r="G19" i="12"/>
  <c r="F19" i="12"/>
  <c r="L19" i="12"/>
  <c r="H19" i="12"/>
  <c r="L20" i="12"/>
  <c r="G20" i="12"/>
  <c r="F20" i="12"/>
  <c r="N20" i="12"/>
  <c r="M20" i="12"/>
  <c r="N23" i="12"/>
  <c r="I23" i="12"/>
  <c r="G23" i="12"/>
  <c r="M23" i="12"/>
  <c r="L23" i="12"/>
  <c r="F23" i="12"/>
  <c r="M21" i="12"/>
  <c r="L21" i="12"/>
  <c r="N21" i="12"/>
  <c r="G21" i="12"/>
  <c r="F21" i="12"/>
  <c r="H11" i="12"/>
  <c r="J11" i="12"/>
  <c r="I11" i="12"/>
  <c r="G11" i="12"/>
  <c r="N11" i="12"/>
  <c r="F11" i="12"/>
  <c r="M11" i="12"/>
  <c r="L11" i="12"/>
  <c r="J31" i="6"/>
  <c r="J30" i="6"/>
  <c r="J29" i="6"/>
  <c r="J28" i="6"/>
  <c r="J27" i="6"/>
  <c r="G26" i="6"/>
  <c r="J26" i="6"/>
  <c r="J25" i="6"/>
  <c r="J18" i="6"/>
  <c r="J17" i="6"/>
  <c r="J16" i="6"/>
  <c r="J15" i="6"/>
  <c r="J14" i="6"/>
  <c r="G14" i="6"/>
  <c r="G15" i="6" s="1"/>
  <c r="G16" i="6" s="1"/>
  <c r="G17" i="6" s="1"/>
  <c r="G18" i="6" s="1"/>
  <c r="J13" i="6"/>
  <c r="J12" i="6"/>
  <c r="J31" i="12" l="1"/>
  <c r="G22" i="12"/>
  <c r="N22" i="12"/>
  <c r="F22" i="12"/>
  <c r="L22" i="12"/>
  <c r="M22" i="12"/>
  <c r="I22" i="12"/>
  <c r="I31" i="12" s="1"/>
  <c r="G12" i="12"/>
  <c r="M12" i="12"/>
  <c r="L12" i="12"/>
  <c r="N12" i="12"/>
  <c r="F12" i="12"/>
  <c r="H12" i="12"/>
  <c r="G27" i="6"/>
  <c r="G28" i="6" s="1"/>
  <c r="G29" i="6" s="1"/>
  <c r="G30" i="6" s="1"/>
  <c r="G31" i="6" s="1"/>
  <c r="H31" i="12" l="1"/>
  <c r="Y78" i="1" s="1"/>
  <c r="L31" i="12"/>
  <c r="Y43" i="1" s="1"/>
  <c r="Z43" i="1" s="1"/>
  <c r="G46" i="9" s="1"/>
  <c r="F31" i="12"/>
  <c r="G31" i="12"/>
  <c r="G51" i="12" s="1"/>
  <c r="Y51" i="1" s="1"/>
  <c r="M31" i="12"/>
  <c r="N31" i="12"/>
  <c r="H4" i="9"/>
  <c r="AA31" i="1"/>
  <c r="B11" i="11" s="1"/>
  <c r="L78" i="12" l="1"/>
  <c r="L86" i="12" s="1"/>
  <c r="M78" i="12"/>
  <c r="M86" i="12" s="1"/>
  <c r="N78" i="12"/>
  <c r="N86" i="12" s="1"/>
  <c r="Z78" i="1"/>
  <c r="G28" i="9" s="1"/>
  <c r="Y34" i="1"/>
  <c r="Z34" i="1" s="1"/>
  <c r="Z51" i="1"/>
  <c r="G5" i="9" s="1"/>
  <c r="H5" i="9" s="1"/>
  <c r="Y52" i="1"/>
  <c r="Z52" i="1" s="1"/>
  <c r="G6" i="9" s="1"/>
  <c r="B8" i="11"/>
  <c r="B7" i="11" s="1"/>
  <c r="J62" i="1"/>
  <c r="J66" i="1"/>
  <c r="J77" i="1"/>
  <c r="J73" i="1"/>
  <c r="J63" i="1"/>
  <c r="J68" i="1"/>
  <c r="J76" i="1"/>
  <c r="J60" i="1"/>
  <c r="J64" i="1"/>
  <c r="J69" i="1"/>
  <c r="J75" i="1"/>
  <c r="J61" i="1"/>
  <c r="J65" i="1"/>
  <c r="J70" i="1"/>
  <c r="J74" i="1"/>
  <c r="W43" i="1"/>
  <c r="L53" i="12"/>
  <c r="H6" i="9" l="1"/>
  <c r="G27" i="9"/>
  <c r="Z46" i="1"/>
  <c r="Y46" i="1"/>
  <c r="M51" i="12"/>
  <c r="L52" i="12"/>
  <c r="N52" i="12"/>
  <c r="M52" i="12"/>
  <c r="N51" i="12"/>
  <c r="L51" i="12"/>
  <c r="N53" i="12"/>
  <c r="M53" i="12"/>
  <c r="M34" i="12"/>
  <c r="N34" i="12"/>
  <c r="N46" i="12" s="1"/>
  <c r="F34" i="12"/>
  <c r="L34" i="12"/>
  <c r="L46" i="12" s="1"/>
  <c r="M43" i="12"/>
  <c r="F43" i="12"/>
  <c r="F46" i="12" l="1"/>
  <c r="M46" i="12"/>
  <c r="F49" i="12" l="1"/>
  <c r="E53" i="6" s="1"/>
  <c r="F65" i="6" s="1"/>
  <c r="AA51" i="1"/>
  <c r="F67" i="6" l="1"/>
  <c r="F71" i="6" s="1"/>
  <c r="F73" i="6"/>
  <c r="F119" i="6" s="1"/>
  <c r="F123" i="6" s="1"/>
  <c r="Y50" i="1"/>
  <c r="Z50" i="1" s="1"/>
  <c r="G8" i="9" s="1"/>
  <c r="F50" i="12"/>
  <c r="AA52" i="1"/>
  <c r="F129" i="6" l="1"/>
  <c r="F121" i="6"/>
  <c r="F128" i="6"/>
  <c r="F120" i="6"/>
  <c r="F124" i="6"/>
  <c r="F86" i="6"/>
  <c r="F88" i="6"/>
  <c r="F81" i="6"/>
  <c r="F75" i="6"/>
  <c r="F77" i="6"/>
  <c r="F76" i="6"/>
  <c r="F87" i="6"/>
  <c r="F80" i="6"/>
  <c r="F82" i="6"/>
  <c r="F97" i="6"/>
  <c r="F78" i="6"/>
  <c r="L50" i="12"/>
  <c r="N50" i="12"/>
  <c r="M50" i="12"/>
  <c r="F83" i="6" l="1"/>
  <c r="F104" i="6"/>
  <c r="F100" i="6"/>
  <c r="F109" i="6"/>
  <c r="F99" i="6"/>
  <c r="F108" i="6"/>
  <c r="F110" i="6"/>
  <c r="F102" i="6"/>
  <c r="F98" i="6"/>
  <c r="F103" i="6"/>
  <c r="F79" i="6"/>
  <c r="F84" i="6" s="1"/>
  <c r="F122" i="6"/>
  <c r="F126" i="6" s="1"/>
  <c r="F125" i="6"/>
  <c r="F85" i="6" l="1"/>
  <c r="F89" i="6" s="1"/>
  <c r="F90" i="6" s="1"/>
  <c r="F93" i="6" s="1"/>
  <c r="F95" i="6" s="1"/>
  <c r="F134" i="6" s="1"/>
  <c r="F101" i="6"/>
  <c r="F106" i="6" s="1"/>
  <c r="F127" i="6"/>
  <c r="F130" i="6" s="1"/>
  <c r="F131" i="6" s="1"/>
  <c r="F133" i="6" s="1"/>
  <c r="F136" i="6" s="1"/>
  <c r="F105" i="6"/>
  <c r="F107" i="6" l="1"/>
  <c r="F111" i="6" s="1"/>
  <c r="F112" i="6" l="1"/>
  <c r="F115" i="6" s="1"/>
  <c r="F117" i="6" s="1"/>
  <c r="F135" i="6" s="1"/>
  <c r="F137" i="6" s="1"/>
  <c r="Y49" i="1" s="1"/>
  <c r="T60" i="1"/>
  <c r="Y60" i="1" s="1"/>
  <c r="Q61" i="1" s="1"/>
  <c r="L49" i="12" l="1"/>
  <c r="L54" i="12" s="1"/>
  <c r="L88" i="12" s="1"/>
  <c r="Y54" i="1"/>
  <c r="Z49" i="1"/>
  <c r="Z54" i="1" s="1"/>
  <c r="M49" i="12"/>
  <c r="M54" i="12" s="1"/>
  <c r="M88" i="12" s="1"/>
  <c r="K68" i="1" s="1"/>
  <c r="S68" i="1" s="1"/>
  <c r="N49" i="12"/>
  <c r="N54" i="12" s="1"/>
  <c r="N88" i="12" s="1"/>
  <c r="T61" i="1"/>
  <c r="Y61" i="1" s="1"/>
  <c r="Z60" i="1"/>
  <c r="G9" i="9" s="1"/>
  <c r="K70" i="1" l="1"/>
  <c r="S70" i="1" s="1"/>
  <c r="K69" i="1"/>
  <c r="S69" i="1" s="1"/>
  <c r="O68" i="1"/>
  <c r="M68" i="1"/>
  <c r="G7" i="9"/>
  <c r="H7" i="9" s="1"/>
  <c r="H8" i="9" s="1"/>
  <c r="AA50" i="1" s="1"/>
  <c r="K64" i="1"/>
  <c r="K77" i="1"/>
  <c r="K74" i="1"/>
  <c r="K75" i="1"/>
  <c r="K61" i="1"/>
  <c r="K73" i="1"/>
  <c r="K65" i="1"/>
  <c r="K76" i="1"/>
  <c r="K62" i="1"/>
  <c r="K66" i="1"/>
  <c r="K63" i="1"/>
  <c r="K60" i="1"/>
  <c r="Q63" i="1"/>
  <c r="Q62" i="1"/>
  <c r="P68" i="1" l="1"/>
  <c r="H9" i="9"/>
  <c r="AA60" i="1" s="1"/>
  <c r="AA49" i="1"/>
  <c r="O69" i="1"/>
  <c r="M69" i="1"/>
  <c r="M70" i="1"/>
  <c r="O70" i="1"/>
  <c r="O61" i="1"/>
  <c r="M61" i="1"/>
  <c r="S61" i="1"/>
  <c r="S73" i="1"/>
  <c r="M73" i="1"/>
  <c r="O73" i="1"/>
  <c r="S60" i="1"/>
  <c r="M60" i="1"/>
  <c r="O60" i="1"/>
  <c r="S75" i="1"/>
  <c r="O75" i="1"/>
  <c r="M75" i="1"/>
  <c r="S63" i="1"/>
  <c r="M63" i="1"/>
  <c r="O63" i="1"/>
  <c r="S62" i="1"/>
  <c r="M62" i="1"/>
  <c r="O62" i="1"/>
  <c r="S64" i="1"/>
  <c r="O64" i="1"/>
  <c r="M64" i="1"/>
  <c r="S74" i="1"/>
  <c r="O74" i="1"/>
  <c r="M74" i="1"/>
  <c r="S66" i="1"/>
  <c r="O66" i="1"/>
  <c r="M66" i="1"/>
  <c r="S76" i="1"/>
  <c r="M76" i="1"/>
  <c r="O76" i="1"/>
  <c r="S77" i="1"/>
  <c r="M77" i="1"/>
  <c r="O77" i="1"/>
  <c r="S65" i="1"/>
  <c r="O65" i="1"/>
  <c r="M65" i="1"/>
  <c r="Z61" i="1"/>
  <c r="G10" i="9" s="1"/>
  <c r="T62" i="1"/>
  <c r="P69" i="1" l="1"/>
  <c r="P70" i="1"/>
  <c r="P64" i="1"/>
  <c r="P66" i="1"/>
  <c r="P74" i="1"/>
  <c r="P77" i="1"/>
  <c r="P60" i="1"/>
  <c r="R60" i="1" s="1"/>
  <c r="P61" i="1"/>
  <c r="R61" i="1" s="1"/>
  <c r="P73" i="1"/>
  <c r="P76" i="1"/>
  <c r="P63" i="1"/>
  <c r="R63" i="1" s="1"/>
  <c r="P65" i="1"/>
  <c r="P75" i="1"/>
  <c r="P62" i="1"/>
  <c r="R62" i="1" s="1"/>
  <c r="T63" i="1"/>
  <c r="Y63" i="1" s="1"/>
  <c r="H10" i="9"/>
  <c r="H11" i="9" s="1"/>
  <c r="H12" i="9" s="1"/>
  <c r="AA58" i="1" s="1"/>
  <c r="Y62" i="1"/>
  <c r="Z62" i="1" s="1"/>
  <c r="G14" i="9" s="1"/>
  <c r="Z63" i="1" l="1"/>
  <c r="G13" i="9" s="1"/>
  <c r="H13" i="9" s="1"/>
  <c r="H14" i="9" s="1"/>
  <c r="Q64" i="1"/>
  <c r="R64" i="1" s="1"/>
  <c r="AA59" i="1"/>
  <c r="AA61" i="1"/>
  <c r="T64" i="1" l="1"/>
  <c r="Y64" i="1" s="1"/>
  <c r="AA62" i="1"/>
  <c r="AA63" i="1"/>
  <c r="Q65" i="1" l="1"/>
  <c r="R65" i="1" s="1"/>
  <c r="Q66" i="1"/>
  <c r="R66" i="1" s="1"/>
  <c r="Z64" i="1"/>
  <c r="G15" i="9" s="1"/>
  <c r="H15" i="9" s="1"/>
  <c r="AA64" i="1" s="1"/>
  <c r="T65" i="1"/>
  <c r="Y65" i="1" s="1"/>
  <c r="T66" i="1"/>
  <c r="Y66" i="1" l="1"/>
  <c r="Z65" i="1"/>
  <c r="G17" i="9" s="1"/>
  <c r="Q68" i="1" l="1"/>
  <c r="R68" i="1" s="1"/>
  <c r="Z66" i="1"/>
  <c r="G16" i="9" s="1"/>
  <c r="T68" i="1" l="1"/>
  <c r="Y68" i="1" s="1"/>
  <c r="Q69" i="1" s="1"/>
  <c r="R69" i="1" s="1"/>
  <c r="H16" i="9"/>
  <c r="H17" i="9" s="1"/>
  <c r="AA65" i="1" s="1"/>
  <c r="T69" i="1"/>
  <c r="Y69" i="1" s="1"/>
  <c r="Z68" i="1" l="1"/>
  <c r="G18" i="9" s="1"/>
  <c r="H18" i="9" s="1"/>
  <c r="AA68" i="1" s="1"/>
  <c r="Q70" i="1"/>
  <c r="R70" i="1" s="1"/>
  <c r="AA66" i="1"/>
  <c r="Z69" i="1"/>
  <c r="G19" i="9" s="1"/>
  <c r="H19" i="9" l="1"/>
  <c r="AA69" i="1" s="1"/>
  <c r="T70" i="1"/>
  <c r="Y70" i="1" s="1"/>
  <c r="Z70" i="1" l="1"/>
  <c r="G20" i="9" s="1"/>
  <c r="Q73" i="1"/>
  <c r="R73" i="1" s="1"/>
  <c r="T73" i="1" l="1"/>
  <c r="Y73" i="1" s="1"/>
  <c r="Q74" i="1" s="1"/>
  <c r="R74" i="1" s="1"/>
  <c r="H20" i="9"/>
  <c r="H21" i="9" s="1"/>
  <c r="AA72" i="1" s="1"/>
  <c r="AA70" i="1" l="1"/>
  <c r="T74" i="1"/>
  <c r="Y74" i="1" s="1"/>
  <c r="Q75" i="1" s="1"/>
  <c r="R75" i="1" s="1"/>
  <c r="Z73" i="1"/>
  <c r="G22" i="9" s="1"/>
  <c r="T75" i="1" l="1"/>
  <c r="Y75" i="1" s="1"/>
  <c r="Q76" i="1" s="1"/>
  <c r="R76" i="1" s="1"/>
  <c r="H22" i="9"/>
  <c r="AA73" i="1" s="1"/>
  <c r="Z74" i="1"/>
  <c r="G23" i="9" s="1"/>
  <c r="T76" i="1" l="1"/>
  <c r="Y76" i="1" s="1"/>
  <c r="Q77" i="1" s="1"/>
  <c r="R77" i="1" s="1"/>
  <c r="H23" i="9"/>
  <c r="AA74" i="1" s="1"/>
  <c r="Z75" i="1"/>
  <c r="G24" i="9" s="1"/>
  <c r="T77" i="1" l="1"/>
  <c r="Y77" i="1" s="1"/>
  <c r="Z77" i="1" s="1"/>
  <c r="G26" i="9" s="1"/>
  <c r="H24" i="9"/>
  <c r="AA75" i="1" s="1"/>
  <c r="Z76" i="1"/>
  <c r="G25" i="9" s="1"/>
  <c r="H25" i="9" l="1"/>
  <c r="H26" i="9" s="1"/>
  <c r="H27" i="9" s="1"/>
  <c r="H28" i="9" s="1"/>
  <c r="H29" i="9" s="1"/>
  <c r="H30" i="9" s="1"/>
  <c r="H31" i="9" s="1"/>
  <c r="H32" i="9" s="1"/>
  <c r="H33" i="9" s="1"/>
  <c r="H34" i="9" s="1"/>
  <c r="H35" i="9" s="1"/>
  <c r="H36" i="9" s="1"/>
  <c r="H37" i="9" s="1"/>
  <c r="Y86" i="1"/>
  <c r="Y88" i="1" s="1"/>
  <c r="Z86" i="1"/>
  <c r="Z88" i="1" s="1"/>
  <c r="AB88" i="1" s="1"/>
  <c r="AA54" i="1"/>
  <c r="D11" i="11" s="1"/>
  <c r="H38" i="9" l="1"/>
  <c r="H39" i="9" s="1"/>
  <c r="H40" i="9" s="1"/>
  <c r="H41" i="9" s="1"/>
  <c r="H42" i="9" s="1"/>
  <c r="H43" i="9" s="1"/>
  <c r="H44" i="9" s="1"/>
  <c r="H45" i="9" s="1"/>
  <c r="H46" i="9" s="1"/>
  <c r="AA35" i="1"/>
  <c r="AA76" i="1"/>
  <c r="AA77" i="1"/>
  <c r="Z89" i="1"/>
  <c r="AA34" i="1"/>
  <c r="AA78" i="1" l="1"/>
  <c r="AA37" i="1" l="1"/>
  <c r="AA40" i="1" l="1"/>
  <c r="AA39" i="1" l="1"/>
  <c r="AA41" i="1" l="1"/>
  <c r="AA80" i="1" l="1"/>
  <c r="AA81" i="1" l="1"/>
  <c r="AA36" i="1" l="1"/>
  <c r="AA79" i="1" l="1"/>
  <c r="AA38" i="1" l="1"/>
  <c r="AA83" i="1" l="1"/>
  <c r="AA84" i="1" l="1"/>
  <c r="AA45" i="1" l="1"/>
  <c r="AA44" i="1" l="1"/>
  <c r="AA85" i="1" l="1"/>
  <c r="AA42" i="1" l="1"/>
  <c r="AA43" i="1" l="1"/>
  <c r="AA82" i="1"/>
  <c r="AA86" i="1" s="1"/>
  <c r="E11" i="11" s="1"/>
  <c r="H47" i="9" l="1"/>
  <c r="AA46" i="1"/>
  <c r="C11" i="11" s="1"/>
  <c r="C9" i="11" s="1"/>
  <c r="D9" i="11" l="1"/>
  <c r="E9" i="11" s="1"/>
  <c r="AA88" i="1"/>
  <c r="F11" i="11" s="1"/>
  <c r="F8" i="11" s="1"/>
  <c r="F7" i="11" s="1"/>
  <c r="Y5" i="1" l="1"/>
</calcChain>
</file>

<file path=xl/comments1.xml><?xml version="1.0" encoding="utf-8"?>
<comments xmlns="http://schemas.openxmlformats.org/spreadsheetml/2006/main">
  <authors>
    <author>Stu Wilbur</author>
  </authors>
  <commentList>
    <comment ref="V60"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1"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2"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3"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4"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5"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6"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E73" authorId="0" shapeId="0">
      <text>
        <r>
          <rPr>
            <sz val="9"/>
            <color indexed="81"/>
            <rFont val="Tahoma"/>
            <family val="2"/>
          </rPr>
          <t>Judgment Creditor, 
Student Loan, or 
Admin Wage Garnishment.  
List the garnishments in the order they were served (put in place) with 1 being the earliest.</t>
        </r>
      </text>
    </comment>
    <comment ref="E74" authorId="0" shapeId="0">
      <text>
        <r>
          <rPr>
            <sz val="9"/>
            <color indexed="81"/>
            <rFont val="Tahoma"/>
            <family val="2"/>
          </rPr>
          <t>Judgment Creditor, 
Student Loan, or 
Admin Wage Garnishment.  
List the garnishments in the order they were served (put in place) with 1 being the earliest.</t>
        </r>
      </text>
    </comment>
    <comment ref="E75" authorId="0" shapeId="0">
      <text>
        <r>
          <rPr>
            <sz val="9"/>
            <color indexed="81"/>
            <rFont val="Tahoma"/>
            <family val="2"/>
          </rPr>
          <t>Judgment Creditor, 
Student Loan, or 
Admin Wage Garnishment.  
List the garnishments in the order they were served (put in place) with 1 being the earliest.</t>
        </r>
      </text>
    </comment>
    <comment ref="E76" authorId="0" shapeId="0">
      <text>
        <r>
          <rPr>
            <sz val="9"/>
            <color indexed="81"/>
            <rFont val="Tahoma"/>
            <family val="2"/>
          </rPr>
          <t>Judgment Creditor, 
Student Loan, or 
Admin Wage Garnishment.  
List the garnishments in the order they were served (put in place) with 1 being the earliest.</t>
        </r>
      </text>
    </comment>
    <comment ref="E77" authorId="0" shapeId="0">
      <text>
        <r>
          <rPr>
            <sz val="9"/>
            <color indexed="81"/>
            <rFont val="Tahoma"/>
            <family val="2"/>
          </rPr>
          <t>Judgment Creditor, 
Student Loan, or 
Admin Wage Garnishment.  
List the garnishments in the order they were served (put in place) with 1 being the earliest.</t>
        </r>
      </text>
    </comment>
  </commentList>
</comments>
</file>

<file path=xl/comments2.xml><?xml version="1.0" encoding="utf-8"?>
<comments xmlns="http://schemas.openxmlformats.org/spreadsheetml/2006/main">
  <authors>
    <author>Stu Wilbur</author>
  </authors>
  <commentList>
    <comment ref="M36"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37"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38"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39"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0"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1"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2"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3"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4"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5"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78"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79"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0"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1"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3"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4"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5"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L88" authorId="0" shapeId="0">
      <text>
        <r>
          <rPr>
            <sz val="9"/>
            <color indexed="81"/>
            <rFont val="Tahoma"/>
            <family val="2"/>
          </rPr>
          <t>Gross Earnings
  - Taxes
  - Retirement
  - LTD
=Disposable Income</t>
        </r>
      </text>
    </comment>
    <comment ref="M88" authorId="0" shapeId="0">
      <text>
        <r>
          <rPr>
            <sz val="9"/>
            <color indexed="81"/>
            <rFont val="Tahoma"/>
            <family val="2"/>
          </rPr>
          <t xml:space="preserve">Gross Earnings
  - Taxes
  - Retirement
  - Voluntary Deduction in place at time served
  - Exempt Amount </t>
        </r>
      </text>
    </comment>
    <comment ref="N88" authorId="0" shapeId="0">
      <text>
        <r>
          <rPr>
            <sz val="9"/>
            <color indexed="81"/>
            <rFont val="Tahoma"/>
            <family val="2"/>
          </rPr>
          <t>Gross Earnings
  - Taxes
  - Retirement
  - LTD
  - Health
  - Dental
  - Vision
=Disposable Income</t>
        </r>
      </text>
    </comment>
  </commentList>
</comments>
</file>

<file path=xl/comments3.xml><?xml version="1.0" encoding="utf-8"?>
<comments xmlns="http://schemas.openxmlformats.org/spreadsheetml/2006/main">
  <authors>
    <author>Stu Wilbur</author>
  </authors>
  <commentList>
    <comment ref="J8" authorId="0" shapeId="0">
      <text>
        <r>
          <rPr>
            <sz val="9"/>
            <color indexed="81"/>
            <rFont val="Tahoma"/>
            <family val="2"/>
          </rPr>
          <t>Assumed to be flat amount, so not taken.  Add "X" if percentage.</t>
        </r>
      </text>
    </comment>
    <comment ref="J17" authorId="0" shapeId="0">
      <text>
        <r>
          <rPr>
            <sz val="9"/>
            <color indexed="81"/>
            <rFont val="Tahoma"/>
            <family val="2"/>
          </rPr>
          <t>Assumed to be percentage, therefore taken.  If a flat amount, remove X.</t>
        </r>
      </text>
    </comment>
    <comment ref="J18" authorId="0" shapeId="0">
      <text>
        <r>
          <rPr>
            <sz val="9"/>
            <color indexed="81"/>
            <rFont val="Tahoma"/>
            <family val="2"/>
          </rPr>
          <t>Assumed to be percentage, therefore taken.  If a flat amount, remove X.</t>
        </r>
      </text>
    </comment>
    <comment ref="J19" authorId="0" shapeId="0">
      <text>
        <r>
          <rPr>
            <sz val="9"/>
            <color indexed="81"/>
            <rFont val="Tahoma"/>
            <family val="2"/>
          </rPr>
          <t>Assumed to be percentage, therefore taken.  If a flat amount, remove X.</t>
        </r>
      </text>
    </comment>
    <comment ref="J21" authorId="0" shapeId="0">
      <text>
        <r>
          <rPr>
            <sz val="9"/>
            <color indexed="81"/>
            <rFont val="Tahoma"/>
            <family val="2"/>
          </rPr>
          <t>Assumed to be percentage, therefore taken.  If a flat amount, remove X.</t>
        </r>
      </text>
    </comment>
    <comment ref="J22" authorId="0" shapeId="0">
      <text>
        <r>
          <rPr>
            <sz val="9"/>
            <color indexed="81"/>
            <rFont val="Tahoma"/>
            <family val="2"/>
          </rPr>
          <t>Assumed to be percentage, therefore taken.  If a flat amount, remove X.</t>
        </r>
      </text>
    </comment>
    <comment ref="J23" authorId="0" shapeId="0">
      <text>
        <r>
          <rPr>
            <sz val="9"/>
            <color indexed="81"/>
            <rFont val="Tahoma"/>
            <family val="2"/>
          </rPr>
          <t>Assumed to be percentage, therefore taken.  If a flat amount, remove X.</t>
        </r>
      </text>
    </comment>
    <comment ref="J24" authorId="0" shapeId="0">
      <text>
        <r>
          <rPr>
            <sz val="9"/>
            <color indexed="81"/>
            <rFont val="Tahoma"/>
            <family val="2"/>
          </rPr>
          <t>Assumed to be percentage, therefore taken.  If a flat amount, remove X.</t>
        </r>
      </text>
    </comment>
    <comment ref="J25" authorId="0" shapeId="0">
      <text>
        <r>
          <rPr>
            <sz val="9"/>
            <color indexed="81"/>
            <rFont val="Tahoma"/>
            <family val="2"/>
          </rPr>
          <t>Assumed to be percentage, therefore taken.  If a flat amount, remove X.</t>
        </r>
      </text>
    </comment>
  </commentList>
</comments>
</file>

<file path=xl/sharedStrings.xml><?xml version="1.0" encoding="utf-8"?>
<sst xmlns="http://schemas.openxmlformats.org/spreadsheetml/2006/main" count="1355" uniqueCount="552">
  <si>
    <t>TOTAL GROSS PAY</t>
  </si>
  <si>
    <t>Federal Taxes</t>
  </si>
  <si>
    <t>State Taxes</t>
  </si>
  <si>
    <t>Social Security</t>
  </si>
  <si>
    <t>Medicare</t>
  </si>
  <si>
    <t>State Tax</t>
  </si>
  <si>
    <t>Single</t>
  </si>
  <si>
    <t>Married</t>
  </si>
  <si>
    <t>Federal Tax</t>
  </si>
  <si>
    <t>GROSS PAY</t>
  </si>
  <si>
    <t>TAXES</t>
  </si>
  <si>
    <t>TOTAL TAXES</t>
  </si>
  <si>
    <t>ASRS</t>
  </si>
  <si>
    <t>PLAN-ASRS</t>
  </si>
  <si>
    <t>CORP</t>
  </si>
  <si>
    <t>EORP</t>
  </si>
  <si>
    <t>PSRS</t>
  </si>
  <si>
    <t>NO RETIREMENT</t>
  </si>
  <si>
    <t>B</t>
  </si>
  <si>
    <t>F</t>
  </si>
  <si>
    <t>G</t>
  </si>
  <si>
    <t>H</t>
  </si>
  <si>
    <t>J</t>
  </si>
  <si>
    <t>Retirement</t>
  </si>
  <si>
    <t>PAYROLL TAX TABLES AND EMPLOYEE AND EMPLOYER RELATED EXPENSE RATES</t>
  </si>
  <si>
    <t>Updated:</t>
  </si>
  <si>
    <t>*items highlighted in yellow have been changed since the last update.</t>
  </si>
  <si>
    <t>Effective:</t>
  </si>
  <si>
    <t>FEDERAL WITHHOLDING</t>
  </si>
  <si>
    <t>FEDERAL TAX ID NUMBER  86-6004791</t>
  </si>
  <si>
    <t>EMPLOYEE</t>
  </si>
  <si>
    <t>EMPLOYER</t>
  </si>
  <si>
    <t>CODE</t>
  </si>
  <si>
    <t>DED</t>
  </si>
  <si>
    <t>If the amount of wages (after subtracting withholding allowances) is:</t>
  </si>
  <si>
    <t>RATE</t>
  </si>
  <si>
    <t>The amount of income tax to withhold is:</t>
  </si>
  <si>
    <t>Not Over</t>
  </si>
  <si>
    <t>.............................................................................................</t>
  </si>
  <si>
    <t>Over</t>
  </si>
  <si>
    <t xml:space="preserve">But not over - </t>
  </si>
  <si>
    <t>of excess over -</t>
  </si>
  <si>
    <t>-</t>
  </si>
  <si>
    <t>plus</t>
  </si>
  <si>
    <t>………………………………………………………</t>
  </si>
  <si>
    <t xml:space="preserve">     of excess over  -</t>
  </si>
  <si>
    <t>S2</t>
  </si>
  <si>
    <t>S4</t>
  </si>
  <si>
    <t>S5</t>
  </si>
  <si>
    <t>S6</t>
  </si>
  <si>
    <t>S7</t>
  </si>
  <si>
    <t>S0</t>
  </si>
  <si>
    <t>SB</t>
  </si>
  <si>
    <t>SF</t>
  </si>
  <si>
    <t>SG</t>
  </si>
  <si>
    <t xml:space="preserve">To determine tax liability, deduct the following from gross pay:  number of withholding allowances X </t>
  </si>
  <si>
    <t>;</t>
  </si>
  <si>
    <t>SJ</t>
  </si>
  <si>
    <t>State sponsored dental, health, and life insurances, dependent care, medical reimbursement, and vision care;</t>
  </si>
  <si>
    <t>Contrbutions for all retirement systems; deferred compensation; tax sheltered annuities; bus cards and private transportation.</t>
  </si>
  <si>
    <t>STATE WITHHOLDING</t>
  </si>
  <si>
    <t>PR14 AZ FORMULA</t>
  </si>
  <si>
    <t>% of Gross Taxable Wages</t>
  </si>
  <si>
    <t>=</t>
  </si>
  <si>
    <t>Optional.</t>
  </si>
  <si>
    <t>D</t>
  </si>
  <si>
    <t>E</t>
  </si>
  <si>
    <t>DEFINED CONTRIBUTION</t>
  </si>
  <si>
    <t>(Default for employees who don't submit form A-4)</t>
  </si>
  <si>
    <t>OTHER DEDUCTIONS AND EMPLOYER RELATED EXPENSES</t>
  </si>
  <si>
    <t>If EE does not expect to have any tax liability this year. Must file Annually.</t>
  </si>
  <si>
    <t>EMPLOYER RELATED EXPENSES</t>
  </si>
  <si>
    <t>UNEMPLOYMENT INSURANCE (SUTA)</t>
  </si>
  <si>
    <t>T202</t>
  </si>
  <si>
    <t>TECHNOLOGY CHARGE (ADOA ASET)</t>
  </si>
  <si>
    <t>FICA (SOCIAL SECURITY AND MEDICARE) TAXES</t>
  </si>
  <si>
    <t>HR PRO RATA</t>
  </si>
  <si>
    <t>WAGES SUBJECT*</t>
  </si>
  <si>
    <t>ACCUM SICK ERE (RASL)</t>
  </si>
  <si>
    <t>SOCIAL SECURITY</t>
  </si>
  <si>
    <t>up to</t>
  </si>
  <si>
    <t>WORKER'S COMPENSATION</t>
  </si>
  <si>
    <t>varies by 
job class</t>
  </si>
  <si>
    <t>COUNSEL SERVICES (AG PRO RATA)</t>
  </si>
  <si>
    <t>MEDICARE</t>
  </si>
  <si>
    <t>HR PRO RATA (PERSONNEL BOARD)</t>
  </si>
  <si>
    <t>over</t>
  </si>
  <si>
    <t>ALT CONTRIBUTION RATE - DPS (007)</t>
  </si>
  <si>
    <t>*To determine taxable Social Security and Medicare income, deduct the following from gross pay:</t>
  </si>
  <si>
    <t>ALT CONTRIBUTION RATE - DOC (500)</t>
  </si>
  <si>
    <t>State sponsored dental, health, and life insurances, dependent care, medical reimbursement, and vision care.</t>
  </si>
  <si>
    <t>ALT CONTRIBUTION RATE - EO&amp;J (415)</t>
  </si>
  <si>
    <t>ALT CONTRIBUTION RATE - DJ (501)</t>
  </si>
  <si>
    <t>ALT CONTRIBUTION RATE - DISP (563)</t>
  </si>
  <si>
    <t>ALT CONTRIBUTION RATE - G&amp;F (035)</t>
  </si>
  <si>
    <t>MINIMUM WAGE</t>
  </si>
  <si>
    <t>ALT CONTRIBUTION RATE - AGI (151)</t>
  </si>
  <si>
    <t xml:space="preserve">Effective for hours worked on or after </t>
  </si>
  <si>
    <t>ALT CONTRIBUTION RATE - FIRE (119)</t>
  </si>
  <si>
    <t>FEDERAL</t>
  </si>
  <si>
    <t>ALT CONTRIBUTION RATE - LIQ (164)</t>
  </si>
  <si>
    <t>STATE*</t>
  </si>
  <si>
    <t>ALT CONTRIBUTION RATE - PARK (204)</t>
  </si>
  <si>
    <t>*The Arizona Minimum Wage Act does not apply to State Government employees</t>
  </si>
  <si>
    <t>ALT CONTRIBUTION RATE - ASRS</t>
  </si>
  <si>
    <t>No</t>
  </si>
  <si>
    <t>Question</t>
  </si>
  <si>
    <t>Yes</t>
  </si>
  <si>
    <t>Amount of any ASRS Remaining Payroll Deduction Agreement or Service Purchase</t>
  </si>
  <si>
    <t>Health Insurance</t>
  </si>
  <si>
    <t>Dental Insurance</t>
  </si>
  <si>
    <t>Vision Insurance</t>
  </si>
  <si>
    <t>Dependent Care</t>
  </si>
  <si>
    <t>Short Term Disability (STD)</t>
  </si>
  <si>
    <t>Bus Card Charge</t>
  </si>
  <si>
    <t>Dependent Life Insurance</t>
  </si>
  <si>
    <t>SECC</t>
  </si>
  <si>
    <t>Union Dues</t>
  </si>
  <si>
    <t>PRE-TAX DEDUCTIONS</t>
  </si>
  <si>
    <t>POST-TAX DEDUCTIONS</t>
  </si>
  <si>
    <t>TOTAL POST-TAX DEDUCTIONS</t>
  </si>
  <si>
    <t>TOTAL PRE-TAX DEDUCTIONS</t>
  </si>
  <si>
    <t>ESTIMATED NET PAY</t>
  </si>
  <si>
    <t>over 200K</t>
  </si>
  <si>
    <t>up to 200K</t>
  </si>
  <si>
    <t>Wages YTD</t>
  </si>
  <si>
    <t>Additional Amt (if any)</t>
  </si>
  <si>
    <t>Status</t>
  </si>
  <si>
    <t>Exempt=No</t>
  </si>
  <si>
    <t>Exempt=Yes</t>
  </si>
  <si>
    <t>Exempt?</t>
  </si>
  <si>
    <t>Supplemental Life Insurance (Pre Tax)</t>
  </si>
  <si>
    <t>Supplemental Life Insurance (Post Tax)</t>
  </si>
  <si>
    <t>Social Security &amp; Medicare (FICA) Taxable Wage</t>
  </si>
  <si>
    <t>Federal 
Taxable 
Wage</t>
  </si>
  <si>
    <t>HOURS</t>
  </si>
  <si>
    <t>AMOUNT</t>
  </si>
  <si>
    <t>Wage Max</t>
  </si>
  <si>
    <t>Wage Tier</t>
  </si>
  <si>
    <t>Critical Retention Pay (if eligible)</t>
  </si>
  <si>
    <t>Overtime Pay</t>
  </si>
  <si>
    <t>Overtime</t>
  </si>
  <si>
    <t>Non Taxable Uniform Allowance</t>
  </si>
  <si>
    <t>Travel Reimbursement</t>
  </si>
  <si>
    <t>Other Non Taxable Reimbursement</t>
  </si>
  <si>
    <t>Creditor Garnishment</t>
  </si>
  <si>
    <t>EIN:</t>
  </si>
  <si>
    <t>Name:</t>
  </si>
  <si>
    <t>Deferred Compensation (Nationwide)</t>
  </si>
  <si>
    <t>Student Loan</t>
  </si>
  <si>
    <t>Other Pay by Hours (Holiday Pay, PDA, Sick Pay, Fam Sick Pay, etc)</t>
  </si>
  <si>
    <r>
      <t xml:space="preserve">Shift Differential - 2nd Shift </t>
    </r>
    <r>
      <rPr>
        <sz val="8"/>
        <color theme="1"/>
        <rFont val="Calibri"/>
        <family val="2"/>
        <scheme val="minor"/>
      </rPr>
      <t>(include shift diff hours in regular hours also)</t>
    </r>
  </si>
  <si>
    <r>
      <t xml:space="preserve">Shift Differential - 3rd Shift </t>
    </r>
    <r>
      <rPr>
        <sz val="8"/>
        <color theme="1"/>
        <rFont val="Calibri"/>
        <family val="2"/>
        <scheme val="minor"/>
      </rPr>
      <t>(include shift diff hours in regular hours also)</t>
    </r>
  </si>
  <si>
    <t>Taxable Allowance (such as uniform)</t>
  </si>
  <si>
    <t>ASRS Eligible Wage</t>
  </si>
  <si>
    <t>CORP Eligible Wage</t>
  </si>
  <si>
    <t>EORP Eligible Wage</t>
  </si>
  <si>
    <t>Military Differential Pay (if eligible)</t>
  </si>
  <si>
    <t>Donated Leave Pay</t>
  </si>
  <si>
    <t>PSRS Eligible Wage</t>
  </si>
  <si>
    <t>None</t>
  </si>
  <si>
    <t>ANNUAL TABLE</t>
  </si>
  <si>
    <t>Child Support</t>
  </si>
  <si>
    <t>Spousal Support</t>
  </si>
  <si>
    <t>Head of Household</t>
  </si>
  <si>
    <t>Married filing Joint</t>
  </si>
  <si>
    <t>Married filing Separate</t>
  </si>
  <si>
    <t>Filing Status</t>
  </si>
  <si>
    <t>Exemptions Claimed</t>
  </si>
  <si>
    <t>% of 
Disposable</t>
  </si>
  <si>
    <t>Disposable Income</t>
  </si>
  <si>
    <t>Single- Fixed Exemption</t>
  </si>
  <si>
    <t>Single- Variable Exemption</t>
  </si>
  <si>
    <t>Single- 1 Additional Exemption</t>
  </si>
  <si>
    <t>Single- 2 Additional Exemptions</t>
  </si>
  <si>
    <t>Head of Household- Fixed Exemption</t>
  </si>
  <si>
    <t>Head of Household- Variable Exemption</t>
  </si>
  <si>
    <t>Head of Household- 1 Additional Exemption</t>
  </si>
  <si>
    <t>Head of Household- 2 Additional Exemptions</t>
  </si>
  <si>
    <t>Married filing Joint- Fixed Exemption</t>
  </si>
  <si>
    <t>Married filing Joint- Variable Exemption</t>
  </si>
  <si>
    <t>Married filing Joint- 1 Additional Exemption</t>
  </si>
  <si>
    <t>Married filing Joint- 2 Additional Exemptions</t>
  </si>
  <si>
    <t>Married filing Separate- Fixed Exemption</t>
  </si>
  <si>
    <t>Married filing Separate- Variable Exemption</t>
  </si>
  <si>
    <t>Married filing Separate- 1 Additional Exemption</t>
  </si>
  <si>
    <t>Married filing Separate- 2 Additional Exemptions</t>
  </si>
  <si>
    <t>Married filing Joint- 3 Additional Exemptions</t>
  </si>
  <si>
    <t>Married filing Joint- 4 Additional Exemptions</t>
  </si>
  <si>
    <t>Married filing Separate- 3 Additional Exemptions</t>
  </si>
  <si>
    <t>Married filing Separate- 4 Additional Exemptions</t>
  </si>
  <si>
    <t>Filing Status, Exemptions</t>
  </si>
  <si>
    <t>Based on Selections from Check Estimate Summary Tab</t>
  </si>
  <si>
    <t>Options:</t>
  </si>
  <si>
    <t>Year
Served</t>
  </si>
  <si>
    <t>YEAR</t>
  </si>
  <si>
    <t>PAYOUT: Annual Leave (non separating employee)</t>
  </si>
  <si>
    <t>PAYOUT: Annual Leave (final pay)</t>
  </si>
  <si>
    <t>PAYOUT: Comp Leave (non separating employee)</t>
  </si>
  <si>
    <t>PAYOUT: Comp Leave (final pay)</t>
  </si>
  <si>
    <t>Annual Leave Taken</t>
  </si>
  <si>
    <t>If 65+ or BLIND, Additional Standard Deductions (0 to 4)</t>
  </si>
  <si>
    <t>Supporting Second Family?</t>
  </si>
  <si>
    <t>Child Support Arrears</t>
  </si>
  <si>
    <t>Spousal Support Arrears</t>
  </si>
  <si>
    <t>Arrears greater than 12 weeks?</t>
  </si>
  <si>
    <t>Disposable Income for 
Tax Levy</t>
  </si>
  <si>
    <t>Child Medical Support</t>
  </si>
  <si>
    <t>Child Medical Support Arrears</t>
  </si>
  <si>
    <t>IRS Tax Levy</t>
  </si>
  <si>
    <t>DOR Tax Levy</t>
  </si>
  <si>
    <t>DES Levy</t>
  </si>
  <si>
    <t>IRS LEVY</t>
  </si>
  <si>
    <t>DOR LEVY</t>
  </si>
  <si>
    <t>DES LEVY</t>
  </si>
  <si>
    <t>Clearinghouse Fee</t>
  </si>
  <si>
    <t>State Fee for Support Orders</t>
  </si>
  <si>
    <t>ORDER</t>
  </si>
  <si>
    <t>HRIS DEDUCTION PRIORITY</t>
  </si>
  <si>
    <t>RUNNING SUM</t>
  </si>
  <si>
    <t>If 100%, becomes priority 9, takes rest of net pay</t>
  </si>
  <si>
    <t>GROSS PAY (LESS REIMBURSEMENTS)</t>
  </si>
  <si>
    <t>Hidden</t>
  </si>
  <si>
    <t>Judgment Creditor</t>
  </si>
  <si>
    <t>Reimbursement</t>
  </si>
  <si>
    <t>Earnings</t>
  </si>
  <si>
    <t>Chart Label</t>
  </si>
  <si>
    <t>Disposable Income for Bankruptcy, Support Orders, Creditor Garnishments, Non Federal Student Loans</t>
  </si>
  <si>
    <t>Disposable Income for Fed Student Loan or Admin Wage Garnishments</t>
  </si>
  <si>
    <t>Garnishment 1</t>
  </si>
  <si>
    <t>Garnishment 2</t>
  </si>
  <si>
    <t>Garnishment 3</t>
  </si>
  <si>
    <t>Garnishment 4</t>
  </si>
  <si>
    <t>Garnishment 5</t>
  </si>
  <si>
    <t>Garnishment Fee</t>
  </si>
  <si>
    <t>Garn Type</t>
  </si>
  <si>
    <t>Federal Student Loan</t>
  </si>
  <si>
    <t>Non Fed Student Loan</t>
  </si>
  <si>
    <t>Garnishment Type</t>
  </si>
  <si>
    <t>Admin Wage Garnishment</t>
  </si>
  <si>
    <t>PAYOUT: Holiday Leave (non separating employee)</t>
  </si>
  <si>
    <t>PAYOUT: Holiday Leave (final pay)</t>
  </si>
  <si>
    <t>GAO Central Payroll - Paycheck Estimator           Wages Base Calculations</t>
  </si>
  <si>
    <r>
      <t xml:space="preserve">Regular Pay </t>
    </r>
    <r>
      <rPr>
        <sz val="8"/>
        <color theme="1"/>
        <rFont val="Calibri"/>
        <family val="2"/>
        <scheme val="minor"/>
      </rPr>
      <t>(estimate rate by taking regular pay / regular hours worked)</t>
    </r>
  </si>
  <si>
    <r>
      <t xml:space="preserve">Overtime Pay </t>
    </r>
    <r>
      <rPr>
        <sz val="8"/>
        <color theme="1"/>
        <rFont val="Calibri"/>
        <family val="2"/>
        <scheme val="minor"/>
      </rPr>
      <t xml:space="preserve"> (these hours are in addition to regular hours)</t>
    </r>
  </si>
  <si>
    <t>Green Cell = Input/Default, 
Yellow = Auto Calculated, 
Blue = Totals (Wage Bases)
Gray = N/A</t>
  </si>
  <si>
    <t>Green Cell = Input/Default,   Yellow = Auto Calculated,   Gray = N/A,   Blue = Totals</t>
  </si>
  <si>
    <r>
      <t xml:space="preserve">Shift Differential - 2nd Shift </t>
    </r>
    <r>
      <rPr>
        <sz val="8"/>
        <color theme="1"/>
        <rFont val="Calibri"/>
        <family val="2"/>
        <scheme val="minor"/>
      </rPr>
      <t>(these hours should already be in regular hours also)</t>
    </r>
  </si>
  <si>
    <r>
      <t>Shift Differential - 3rd Shift</t>
    </r>
    <r>
      <rPr>
        <sz val="8"/>
        <color theme="1"/>
        <rFont val="Calibri"/>
        <family val="2"/>
        <scheme val="minor"/>
      </rPr>
      <t xml:space="preserve"> (these hours should already be in regular hours also)</t>
    </r>
  </si>
  <si>
    <r>
      <t xml:space="preserve">Regular Pay  </t>
    </r>
    <r>
      <rPr>
        <sz val="8"/>
        <color theme="1"/>
        <rFont val="Calibri"/>
        <family val="2"/>
        <scheme val="minor"/>
      </rPr>
      <t>(estimate by taking regular pay / regular hours worked)</t>
    </r>
  </si>
  <si>
    <t>ADJUST</t>
  </si>
  <si>
    <t>TOTAL</t>
  </si>
  <si>
    <r>
      <t xml:space="preserve">Non-cash taxable income </t>
    </r>
    <r>
      <rPr>
        <sz val="8"/>
        <color theme="1"/>
        <rFont val="Calibri"/>
        <family val="2"/>
        <scheme val="minor"/>
      </rPr>
      <t>(such as imputed income or auto usage)(Enter as Adjust, shows on Wage Base Calcs tab)</t>
    </r>
  </si>
  <si>
    <t>Comp Leave Taken Pay</t>
  </si>
  <si>
    <t>Bankruptcy Payment</t>
  </si>
  <si>
    <t>Flat Amount Order (enter as positive)</t>
  </si>
  <si>
    <t>2. Disposable Earnings</t>
  </si>
  <si>
    <t>1. Gross Earnings</t>
  </si>
  <si>
    <t>3. Disposable Earnings X Max Garn %</t>
  </si>
  <si>
    <t>6. Smaller of 
3 (Max Garn) or 
5 (Disp less Exempt)</t>
  </si>
  <si>
    <t>Levy Exempt 
Amount</t>
  </si>
  <si>
    <t>7. Higher priority garnishment, fees, or if &lt;25%</t>
  </si>
  <si>
    <t>8. Subtract 7 from 6.  Max available for deduction.</t>
  </si>
  <si>
    <t>9a. If less than Max %, enter Disp Earnings X Garn %</t>
  </si>
  <si>
    <t>10. Smaller of 8,9a,9b,Bal</t>
  </si>
  <si>
    <t>Roth IRA</t>
  </si>
  <si>
    <t>Adjust</t>
  </si>
  <si>
    <t>Single- 3 Additional Exemptions</t>
  </si>
  <si>
    <t>Single- 4 Additional Exemptions</t>
  </si>
  <si>
    <t>Head of Household- 3 Additional Exemptions</t>
  </si>
  <si>
    <t>Head of Household- 4 Additional Exemptions</t>
  </si>
  <si>
    <t>Max Garn %</t>
  </si>
  <si>
    <t>Amount Owed 
(optional)
(enter as positive)</t>
  </si>
  <si>
    <t>Medical Reimbursement (AMRA)/Flex Spending</t>
  </si>
  <si>
    <r>
      <rPr>
        <b/>
        <sz val="11"/>
        <color theme="1"/>
        <rFont val="Calibri"/>
        <family val="2"/>
        <scheme val="minor"/>
      </rPr>
      <t>Other Pay by Hours</t>
    </r>
    <r>
      <rPr>
        <sz val="11"/>
        <color theme="1"/>
        <rFont val="Calibri"/>
        <family val="2"/>
        <scheme val="minor"/>
      </rPr>
      <t xml:space="preserve"> (Holiday Pay, PDA, Sick Pay, Fam Sick Pay, etc)</t>
    </r>
  </si>
  <si>
    <t>Other PostTax Deduction (Auto/Home Insurance, Computer Purchase, Misc. Recovery)</t>
  </si>
  <si>
    <t>Other PreTax Deduction (HSA, Private Trans, Van Pool, Tax Sheltered Annuity)</t>
  </si>
  <si>
    <t>Amount of any active 401(a) % irrevocable deferral</t>
  </si>
  <si>
    <t>AMOUNT EARNINGS ARE EXCEEDED BY DEDUCTIONS</t>
  </si>
  <si>
    <t>CYCLES</t>
  </si>
  <si>
    <t>X</t>
  </si>
  <si>
    <t xml:space="preserve"> </t>
  </si>
  <si>
    <t>T</t>
  </si>
  <si>
    <t>Cycle</t>
  </si>
  <si>
    <t>ESTIMATED PAY WITH CYCLES
(shows with appropriate deductions depending on cycle selected)</t>
  </si>
  <si>
    <t>ESTIMATED PAY WITH CYCLES AND PRIORITIES 
(excludes deductions causing negative net pay)</t>
  </si>
  <si>
    <t>Estimated 
Net Pay</t>
  </si>
  <si>
    <t>*This tool is to be used for estimation purposes only and does not capture all of the HRIS programming or scenarios in all circumstances.  This tool assumes there are no midperiod changes to pay rates or multiple pay rates.</t>
  </si>
  <si>
    <t>Changes in tax rates, retirement contribution rates, employee tax withholding elections, etc may produce different results and should be considered when evaluating the results of this tool.</t>
  </si>
  <si>
    <r>
      <rPr>
        <b/>
        <sz val="11"/>
        <color theme="1"/>
        <rFont val="Calibri"/>
        <family val="2"/>
        <scheme val="minor"/>
      </rPr>
      <t>Other Pay by Amount</t>
    </r>
    <r>
      <rPr>
        <sz val="11"/>
        <color theme="1"/>
        <rFont val="Calibri"/>
        <family val="2"/>
        <scheme val="minor"/>
      </rPr>
      <t xml:space="preserve"> (stipend, bonus, RASL, etc) - WITHOUT RETIREMENT</t>
    </r>
  </si>
  <si>
    <t>Other Pay by Amount (stipend, bonus, etc) - WITH RETIREMENT</t>
  </si>
  <si>
    <r>
      <rPr>
        <b/>
        <sz val="11"/>
        <color theme="1"/>
        <rFont val="Calibri"/>
        <family val="2"/>
        <scheme val="minor"/>
      </rPr>
      <t>Other Pay by Amount</t>
    </r>
    <r>
      <rPr>
        <sz val="11"/>
        <color theme="1"/>
        <rFont val="Calibri"/>
        <family val="2"/>
        <scheme val="minor"/>
      </rPr>
      <t xml:space="preserve"> (stipend, bonus, etc) - WITH RETIREMENT</t>
    </r>
  </si>
  <si>
    <t>Other Pay by Amount (stipend, bonus, RASL, etc) - WITHOUT RETIREMENT</t>
  </si>
  <si>
    <t>Agency Initiated or a pre-1984 EE electing to have retirement contribution?</t>
  </si>
  <si>
    <t>A pre-1984 EE electing to have retirement contribution?</t>
  </si>
  <si>
    <t>1E</t>
  </si>
  <si>
    <t>ELECTED OFFICIALS ASRS PLAN</t>
  </si>
  <si>
    <t>3E</t>
  </si>
  <si>
    <t>ASRS LEGACY</t>
  </si>
  <si>
    <r>
      <t xml:space="preserve">ASRS LEGACY </t>
    </r>
    <r>
      <rPr>
        <sz val="8"/>
        <rFont val="Arial"/>
        <family val="2"/>
      </rPr>
      <t>(415)</t>
    </r>
  </si>
  <si>
    <t>EODCRS LEGACY</t>
  </si>
  <si>
    <t>EODCRS LEGACY (415)</t>
  </si>
  <si>
    <t>GAO Central Payroll</t>
  </si>
  <si>
    <t>Effective:  July 1, 2017</t>
  </si>
  <si>
    <t>NORMAL CONTRIBUTIONS</t>
  </si>
  <si>
    <t>ALTERNATE CONTRIBUTIONS</t>
  </si>
  <si>
    <t>SUPPLEMENTAL BENEFIT INDUSTRIAL LEAVE</t>
  </si>
  <si>
    <t>PLAN</t>
  </si>
  <si>
    <t>LTD/DISABILITY</t>
  </si>
  <si>
    <t>Optional DC %</t>
  </si>
  <si>
    <t>PLAN-LEGACY</t>
  </si>
  <si>
    <t>LTD</t>
  </si>
  <si>
    <t>DISABILITY</t>
  </si>
  <si>
    <t>RETIREMENT PLAN DESCRIPTION</t>
  </si>
  <si>
    <t>AMT</t>
  </si>
  <si>
    <t>CORRECTIONS (500)</t>
  </si>
  <si>
    <t>JUVENILE CORRECTIONS (501)</t>
  </si>
  <si>
    <t>PUBLIC SAFETY DISPATCHERS (563)</t>
  </si>
  <si>
    <t>PUBLIC SAFETY DETENTION OFFICERS (564)</t>
  </si>
  <si>
    <t>ELECTED OFFICIALS &amp; JUDGES &lt;7/20/11 (415)</t>
  </si>
  <si>
    <t>3A</t>
  </si>
  <si>
    <t>ELECTED OFFICIALS &amp; JUDGES 7/20/11-12/31/13 (415)</t>
  </si>
  <si>
    <t>R001</t>
  </si>
  <si>
    <t>R002</t>
  </si>
  <si>
    <t>ELECTED OFFICIALS DEFINED CONTRIBUTION &gt;= 1/1/14</t>
  </si>
  <si>
    <r>
      <t xml:space="preserve">PSRS Tier 1         </t>
    </r>
    <r>
      <rPr>
        <sz val="8"/>
        <color theme="1"/>
        <rFont val="Arial"/>
        <family val="2"/>
      </rPr>
      <t>&lt;7/20/2011</t>
    </r>
  </si>
  <si>
    <r>
      <t xml:space="preserve">PUBLIC SAFETY  (007) </t>
    </r>
    <r>
      <rPr>
        <sz val="8"/>
        <rFont val="Arial"/>
        <family val="2"/>
      </rPr>
      <t>ER PAYS 5% EE SHARE</t>
    </r>
  </si>
  <si>
    <t>GAME &amp; FISH (035)</t>
  </si>
  <si>
    <t>AG INVESTIGATORS (151)</t>
  </si>
  <si>
    <t>DEMA  (FIRE FIGHTERS) (119)</t>
  </si>
  <si>
    <t>LIQUOR CONTROL OFFICER (164)</t>
  </si>
  <si>
    <t>STATE PARKS(204)</t>
  </si>
  <si>
    <t>H9</t>
  </si>
  <si>
    <t>DROP Tier 1a Attain 20 service years on or before 1/1/12</t>
  </si>
  <si>
    <t>DROP Tier 1b Attain 20 service years after 1/1/12</t>
  </si>
  <si>
    <r>
      <t xml:space="preserve">PSRS Tier 2 </t>
    </r>
    <r>
      <rPr>
        <sz val="8"/>
        <color theme="1"/>
        <rFont val="Arial"/>
        <family val="2"/>
      </rPr>
      <t>7/20/2011-6/30/2017</t>
    </r>
  </si>
  <si>
    <t>4A</t>
  </si>
  <si>
    <r>
      <t xml:space="preserve">PUBLIC SAFETY Tier 2 (007) </t>
    </r>
    <r>
      <rPr>
        <sz val="8"/>
        <rFont val="Arial"/>
        <family val="2"/>
      </rPr>
      <t>ER PAYS 5% EE SHARE</t>
    </r>
  </si>
  <si>
    <t>R003</t>
  </si>
  <si>
    <t>R004</t>
  </si>
  <si>
    <t>S4A</t>
  </si>
  <si>
    <t>R200</t>
  </si>
  <si>
    <t>5A</t>
  </si>
  <si>
    <t>GAME &amp; FISH Tier 2 (035)</t>
  </si>
  <si>
    <t>R005</t>
  </si>
  <si>
    <t>R006</t>
  </si>
  <si>
    <t>S5A</t>
  </si>
  <si>
    <t>R202</t>
  </si>
  <si>
    <t>6A</t>
  </si>
  <si>
    <t>AG INVESTIGATORS Tier 2 (151)</t>
  </si>
  <si>
    <t>R007</t>
  </si>
  <si>
    <t>R008</t>
  </si>
  <si>
    <t>S6A</t>
  </si>
  <si>
    <t>R204</t>
  </si>
  <si>
    <t>7A</t>
  </si>
  <si>
    <t>DEMA Tier 2 (FIRE FIGHTERS) (119)</t>
  </si>
  <si>
    <t>R009</t>
  </si>
  <si>
    <t>R010</t>
  </si>
  <si>
    <t>S7A</t>
  </si>
  <si>
    <t>R206</t>
  </si>
  <si>
    <t>BA</t>
  </si>
  <si>
    <t>LIQUOR CONTROL OFFICER Tier 2 (164)</t>
  </si>
  <si>
    <t>R011</t>
  </si>
  <si>
    <t>R012</t>
  </si>
  <si>
    <t>SBA</t>
  </si>
  <si>
    <t>R208</t>
  </si>
  <si>
    <t>FA</t>
  </si>
  <si>
    <t>STATE PARKS Tier 2 (204)</t>
  </si>
  <si>
    <t>R013</t>
  </si>
  <si>
    <t>R014</t>
  </si>
  <si>
    <t>SFA</t>
  </si>
  <si>
    <t>R210</t>
  </si>
  <si>
    <r>
      <t xml:space="preserve">PSRS Tier 3                          </t>
    </r>
    <r>
      <rPr>
        <sz val="8"/>
        <color theme="1"/>
        <rFont val="Arial"/>
        <family val="2"/>
      </rPr>
      <t>7/1/2017-PRESENT</t>
    </r>
  </si>
  <si>
    <t>DEFINED BENEFIT</t>
  </si>
  <si>
    <t>4B</t>
  </si>
  <si>
    <t>PUBLIC SAFETY Tier 3 DB (007)</t>
  </si>
  <si>
    <t>R015</t>
  </si>
  <si>
    <t>R016</t>
  </si>
  <si>
    <t>S4B</t>
  </si>
  <si>
    <t>R212</t>
  </si>
  <si>
    <t>5B</t>
  </si>
  <si>
    <t>GAME &amp; FISH Tier 3 DB (035)</t>
  </si>
  <si>
    <t>R017</t>
  </si>
  <si>
    <t>R018</t>
  </si>
  <si>
    <t>S5B</t>
  </si>
  <si>
    <t>R214</t>
  </si>
  <si>
    <t>6B</t>
  </si>
  <si>
    <t>AG INVESTIGATORS Tier 3 DB (151)</t>
  </si>
  <si>
    <t>R019</t>
  </si>
  <si>
    <t>R020</t>
  </si>
  <si>
    <t>S6B</t>
  </si>
  <si>
    <t>R216</t>
  </si>
  <si>
    <t>7B</t>
  </si>
  <si>
    <t>DEMA FIRE FIGHTERS Tier 3 DB (119)</t>
  </si>
  <si>
    <t>R021</t>
  </si>
  <si>
    <t>R022</t>
  </si>
  <si>
    <t>S7B</t>
  </si>
  <si>
    <t>R218</t>
  </si>
  <si>
    <t>BB</t>
  </si>
  <si>
    <t>LIQUOR CONTROL OFFICER Tier 3 DB (164)</t>
  </si>
  <si>
    <t>R023</t>
  </si>
  <si>
    <t>R024</t>
  </si>
  <si>
    <t>SBB</t>
  </si>
  <si>
    <t>R220</t>
  </si>
  <si>
    <t>FB</t>
  </si>
  <si>
    <t>STATE PARKS Tier 3 DB (204)</t>
  </si>
  <si>
    <t>R025</t>
  </si>
  <si>
    <t>R026</t>
  </si>
  <si>
    <t>SFB</t>
  </si>
  <si>
    <t>R222</t>
  </si>
  <si>
    <t>4C</t>
  </si>
  <si>
    <t>R027</t>
  </si>
  <si>
    <t>R028</t>
  </si>
  <si>
    <t>R100</t>
  </si>
  <si>
    <t>S4C</t>
  </si>
  <si>
    <t>R224</t>
  </si>
  <si>
    <t>5C</t>
  </si>
  <si>
    <t>R029</t>
  </si>
  <si>
    <t>R030</t>
  </si>
  <si>
    <t>R102</t>
  </si>
  <si>
    <t>S5C</t>
  </si>
  <si>
    <t>R226</t>
  </si>
  <si>
    <t>6C</t>
  </si>
  <si>
    <t>R031</t>
  </si>
  <si>
    <t>R032</t>
  </si>
  <si>
    <t>R104</t>
  </si>
  <si>
    <t>S6C</t>
  </si>
  <si>
    <t>R228</t>
  </si>
  <si>
    <t>7C</t>
  </si>
  <si>
    <t>R033</t>
  </si>
  <si>
    <t>R034</t>
  </si>
  <si>
    <t>R106</t>
  </si>
  <si>
    <t>S7C</t>
  </si>
  <si>
    <t>R230</t>
  </si>
  <si>
    <t>BC</t>
  </si>
  <si>
    <t>R035</t>
  </si>
  <si>
    <t>R036</t>
  </si>
  <si>
    <t>R108</t>
  </si>
  <si>
    <t>SBC</t>
  </si>
  <si>
    <t>R232</t>
  </si>
  <si>
    <t>FC</t>
  </si>
  <si>
    <t>R037</t>
  </si>
  <si>
    <t>R038</t>
  </si>
  <si>
    <t>R110</t>
  </si>
  <si>
    <t>SFC</t>
  </si>
  <si>
    <t>R234</t>
  </si>
  <si>
    <t>OTHER</t>
  </si>
  <si>
    <t>EMPLOYER'S ANNUITY NTWD (No New Enrollees)</t>
  </si>
  <si>
    <t>DEFINED CONTRIBUTION NTWD (No New Enrollees)</t>
  </si>
  <si>
    <t>Normal Contributions: Mandatory Employee and Employer contributions.</t>
  </si>
  <si>
    <t xml:space="preserve">Alternate Contributions: Employer paid contributions on behalf of a retired member who returns to work. </t>
  </si>
  <si>
    <t>Supplemental Benefit Industrial Leave: Employer paid contributions on behalf of a Public Safety employee who is injured while on duty and meets criteria for Supplemental Industrial Leave Program A.R.S. §38-961.</t>
  </si>
  <si>
    <t>PSRS Tiers: Dates represent the employee's PSRS Membership Date</t>
  </si>
  <si>
    <t xml:space="preserve">        </t>
  </si>
  <si>
    <t>CORP Tier 3</t>
  </si>
  <si>
    <t>0C</t>
  </si>
  <si>
    <t>2C</t>
  </si>
  <si>
    <t>GC</t>
  </si>
  <si>
    <t>JC</t>
  </si>
  <si>
    <t>R039</t>
  </si>
  <si>
    <t>R041</t>
  </si>
  <si>
    <t>R043</t>
  </si>
  <si>
    <t>R045</t>
  </si>
  <si>
    <t>CORRECTIONS Tier 3 DC (500) (rate may vary; default 7%)</t>
  </si>
  <si>
    <t>JUVENILE CORRECTIONS Tier 3 DC (500) (rate may vary; default 7%)</t>
  </si>
  <si>
    <t>PUBLIC SAFETY DISPATCHERS Tier 3 DC (563) (rate may vary; default 7%)</t>
  </si>
  <si>
    <t>PUBLIC SAFETY DETENTION OFCR Tier 3 DC (564) (rate may vary; default 7%)</t>
  </si>
  <si>
    <t xml:space="preserve"> (include PSPRS or CORP Tier 3 retirement additional %)</t>
  </si>
  <si>
    <t>PUBLIC SAFETY Tier 3 DC (007) (rate may vary; default 9%)</t>
  </si>
  <si>
    <t>GAME &amp; FISH Tier 3 DC (035) (rate may vary; default 9%)</t>
  </si>
  <si>
    <t>AG INVESTIGATORS Tier 3 DC (151) (rate may vary; default 9%)</t>
  </si>
  <si>
    <t>DEMA FIRE FIGHTERS Tier 3 DC (119) (rate may vary; default 9%)</t>
  </si>
  <si>
    <t>LIQUOR CONTROL OFFICER Tier 3 DC (164) (rate may vary; default 9%)</t>
  </si>
  <si>
    <t>STATE PARKS Tier 3 DC (204) (rate may vary; default 9%)</t>
  </si>
  <si>
    <t>Long Term Disability (LTD) or PSPRS/CORP Disability</t>
  </si>
  <si>
    <t>Version 1.1.20</t>
  </si>
  <si>
    <t xml:space="preserve">(a) SINGLE STANDARD person </t>
  </si>
  <si>
    <t>(b) MARRIED STANDARD person</t>
  </si>
  <si>
    <t>(a) HEAD OF HOUSEHOLD STANDARD person -</t>
  </si>
  <si>
    <t xml:space="preserve">(a) SINGLE Step 2 Checkbox person </t>
  </si>
  <si>
    <t xml:space="preserve">(a) MARRIED Step 2 Checkbox person </t>
  </si>
  <si>
    <t xml:space="preserve">(a) HEAD of HOUSEHOLD Step 2 Checkbox person </t>
  </si>
  <si>
    <t>Fed Taxable</t>
  </si>
  <si>
    <t>Marital Status</t>
  </si>
  <si>
    <t>Multiple Jobs (W-4 Step 2)</t>
  </si>
  <si>
    <t>Dependents (W-4 Step 3)</t>
  </si>
  <si>
    <t>Other Income (W-4 Step 4(a)</t>
  </si>
  <si>
    <t>Deductions    (W-4 Step 4(b)</t>
  </si>
  <si>
    <t>Allowances 
(pre 2020 W-4)</t>
  </si>
  <si>
    <t>Before 2020</t>
  </si>
  <si>
    <t>W-4 Year</t>
  </si>
  <si>
    <t>Allowances</t>
  </si>
  <si>
    <t>Multiple Jobs?</t>
  </si>
  <si>
    <t>Dependents</t>
  </si>
  <si>
    <t>Additional Income</t>
  </si>
  <si>
    <t>Deductions</t>
  </si>
  <si>
    <t>Additional Amount</t>
  </si>
  <si>
    <t>2020 or After</t>
  </si>
  <si>
    <t>Pay Periods</t>
  </si>
  <si>
    <t>Annual</t>
  </si>
  <si>
    <t>4(a) Additional Income</t>
  </si>
  <si>
    <t>Total</t>
  </si>
  <si>
    <t>4(b) Deductions</t>
  </si>
  <si>
    <t>Second Job</t>
  </si>
  <si>
    <t>subtotal</t>
  </si>
  <si>
    <t>Adjusted annual wage - new</t>
  </si>
  <si>
    <t>Adjusted annual wage - old</t>
  </si>
  <si>
    <t>New STANDARD</t>
  </si>
  <si>
    <t>Excess Over S</t>
  </si>
  <si>
    <t>Excess Over M</t>
  </si>
  <si>
    <t>Excess Over H</t>
  </si>
  <si>
    <t>Excess</t>
  </si>
  <si>
    <t>Tax %S</t>
  </si>
  <si>
    <t>Tax %M</t>
  </si>
  <si>
    <t>Tax %H</t>
  </si>
  <si>
    <t>Excess over calc</t>
  </si>
  <si>
    <t>Excess over calc*%</t>
  </si>
  <si>
    <t>S computed</t>
  </si>
  <si>
    <t>M computed</t>
  </si>
  <si>
    <t>H computed</t>
  </si>
  <si>
    <t>Annual Tax Subtotal</t>
  </si>
  <si>
    <t>Tentative withholding amount</t>
  </si>
  <si>
    <t>3 Tax credits</t>
  </si>
  <si>
    <t>Per Pay Period</t>
  </si>
  <si>
    <t>Subtotal tax per pay period</t>
  </si>
  <si>
    <t>4c Additional Withholding</t>
  </si>
  <si>
    <t>Total Fed Tax New Standard</t>
  </si>
  <si>
    <t>New Multiple Jobs</t>
  </si>
  <si>
    <t>Tax% S</t>
  </si>
  <si>
    <t>Tax% M</t>
  </si>
  <si>
    <t>Tax% H</t>
  </si>
  <si>
    <t>%age</t>
  </si>
  <si>
    <t>3 Tax Credits</t>
  </si>
  <si>
    <t>Subtotal Multiple tax per pay period</t>
  </si>
  <si>
    <t>Total Fed Tax Multiple</t>
  </si>
  <si>
    <t>OLD Pre 2020 W-4</t>
  </si>
  <si>
    <t>Adjusted annual wage - new multiple</t>
  </si>
  <si>
    <t>Adjusted Wage new standard</t>
  </si>
  <si>
    <t>Adjusted annual wage - pre 2020 W-4</t>
  </si>
  <si>
    <t>STATE TAX ID NUMBER  86-6004791</t>
  </si>
  <si>
    <t>Total Fed pre 2020 W-4</t>
  </si>
  <si>
    <t>Multiple 2020 or after W-4</t>
  </si>
  <si>
    <t>Standard 2020 or after W-4</t>
  </si>
  <si>
    <t>Before 2020 W-4</t>
  </si>
  <si>
    <t>TOTAL FEDERAL TAX</t>
  </si>
  <si>
    <t>State Tax Percentage</t>
  </si>
  <si>
    <t>FISCAL YEAR 2021 RETIREMENT PLAN CONTRIBUTION RATES</t>
  </si>
  <si>
    <t>26 PAYS</t>
  </si>
  <si>
    <t>GAO Central Payroll - State of Arizona Paycheck Estimator</t>
  </si>
  <si>
    <t>Valid for payments made January 1, 2023 thru June 30, 2023 with State of AZ withholding.</t>
  </si>
  <si>
    <t>0.1%0</t>
  </si>
  <si>
    <t>updated 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</si>
</sst>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
    <numFmt numFmtId="166" formatCode="mmmm\ d\,\ yyyy"/>
    <numFmt numFmtId="167" formatCode="0.000%"/>
    <numFmt numFmtId="168" formatCode="m/d/yy;@"/>
    <numFmt numFmtId="169" formatCode="_(&quot;$&quot;* #,##0.0000_);_(&quot;$&quot;* \(#,##0.0000\);_(&quot;$&quot;* &quot;-&quot;??_);_(@_)"/>
    <numFmt numFmtId="170" formatCode="_(&quot;$&quot;* #,##0.000_);_(&quot;$&quot;* \(#,##0.000\);_(&quot;$&quot;* &quot;-&quot;??_);_(@_)"/>
    <numFmt numFmtId="171" formatCode="_(&quot;$&quot;* #,##0.00000_);_(&quot;$&quot;* \(#,##0.00000\);_(&quot;$&quot;* &quot;-&quot;??_);_(@_)"/>
    <numFmt numFmtId="172" formatCode="_(* #,##0.00000000_);_(* \(#,##0.00000000\);_(* &quot;-&quot;??_);_(@_)"/>
    <numFmt numFmtId="173" formatCode="&quot;$&quot;#,##0.00000_);\(&quot;$&quot;#,##0.00000\)"/>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sz val="7"/>
      <name val="Arial"/>
      <family val="2"/>
    </font>
    <font>
      <b/>
      <u/>
      <sz val="11"/>
      <color theme="1"/>
      <name val="Calibri"/>
      <family val="2"/>
      <scheme val="minor"/>
    </font>
    <font>
      <sz val="10"/>
      <name val="MS Sans Serif"/>
      <family val="2"/>
    </font>
    <font>
      <b/>
      <sz val="16"/>
      <name val="Arial"/>
      <family val="2"/>
    </font>
    <font>
      <b/>
      <sz val="10"/>
      <name val="Arial"/>
      <family val="2"/>
    </font>
    <font>
      <b/>
      <sz val="7"/>
      <name val="Arial"/>
      <family val="2"/>
    </font>
    <font>
      <b/>
      <sz val="14"/>
      <name val="Arial"/>
      <family val="2"/>
    </font>
    <font>
      <b/>
      <u/>
      <sz val="14"/>
      <color indexed="12"/>
      <name val="Arial"/>
      <family val="2"/>
    </font>
    <font>
      <b/>
      <sz val="10"/>
      <color indexed="8"/>
      <name val="Arial"/>
      <family val="2"/>
    </font>
    <font>
      <b/>
      <sz val="9"/>
      <name val="Arial"/>
      <family val="2"/>
    </font>
    <font>
      <sz val="8"/>
      <name val="Arial"/>
      <family val="2"/>
    </font>
    <font>
      <sz val="10"/>
      <name val="Arial"/>
      <family val="2"/>
    </font>
    <font>
      <b/>
      <sz val="8"/>
      <name val="Arial"/>
      <family val="2"/>
    </font>
    <font>
      <b/>
      <u/>
      <sz val="8"/>
      <name val="Arial"/>
      <family val="2"/>
    </font>
    <font>
      <b/>
      <u/>
      <sz val="9"/>
      <name val="Arial"/>
      <family val="2"/>
    </font>
    <font>
      <u/>
      <sz val="10"/>
      <color indexed="12"/>
      <name val="MS Sans Serif"/>
      <family val="2"/>
    </font>
    <font>
      <sz val="6"/>
      <name val="Arial"/>
      <family val="2"/>
    </font>
    <font>
      <b/>
      <sz val="24"/>
      <color theme="1"/>
      <name val="Calibri"/>
      <family val="2"/>
      <scheme val="minor"/>
    </font>
    <font>
      <sz val="8"/>
      <color theme="1"/>
      <name val="Calibri"/>
      <family val="2"/>
      <scheme val="minor"/>
    </font>
    <font>
      <b/>
      <sz val="10"/>
      <color theme="1"/>
      <name val="Calibri"/>
      <family val="2"/>
      <scheme val="minor"/>
    </font>
    <font>
      <sz val="9"/>
      <color indexed="81"/>
      <name val="Tahoma"/>
      <family val="2"/>
    </font>
    <font>
      <sz val="6"/>
      <color theme="1"/>
      <name val="Calibri"/>
      <family val="2"/>
      <scheme val="minor"/>
    </font>
    <font>
      <b/>
      <sz val="18"/>
      <color theme="1"/>
      <name val="Calibri"/>
      <family val="2"/>
      <scheme val="minor"/>
    </font>
    <font>
      <b/>
      <sz val="9"/>
      <color theme="1"/>
      <name val="Calibri"/>
      <family val="2"/>
      <scheme val="minor"/>
    </font>
    <font>
      <sz val="11"/>
      <name val="Arial"/>
      <family val="2"/>
    </font>
    <font>
      <sz val="10"/>
      <color theme="1"/>
      <name val="Calibri"/>
      <family val="2"/>
      <scheme val="minor"/>
    </font>
    <font>
      <sz val="8"/>
      <color rgb="FFFF0000"/>
      <name val="Calibri"/>
      <family val="2"/>
      <scheme val="minor"/>
    </font>
    <font>
      <sz val="7"/>
      <color theme="1"/>
      <name val="Calibri"/>
      <family val="2"/>
      <scheme val="minor"/>
    </font>
    <font>
      <b/>
      <sz val="9"/>
      <color rgb="FFFF0000"/>
      <name val="Calibri"/>
      <family val="2"/>
      <scheme val="minor"/>
    </font>
    <font>
      <sz val="11"/>
      <color indexed="8"/>
      <name val="Calibri"/>
      <family val="2"/>
    </font>
    <font>
      <sz val="10"/>
      <color indexed="8"/>
      <name val="Arial"/>
      <family val="2"/>
    </font>
    <font>
      <sz val="9"/>
      <color theme="1"/>
      <name val="Calibri"/>
      <family val="2"/>
      <scheme val="minor"/>
    </font>
    <font>
      <b/>
      <sz val="7"/>
      <color theme="1"/>
      <name val="Calibri"/>
      <family val="2"/>
      <scheme val="minor"/>
    </font>
    <font>
      <b/>
      <u/>
      <sz val="10"/>
      <color theme="1"/>
      <name val="Calibri"/>
      <family val="2"/>
      <scheme val="minor"/>
    </font>
    <font>
      <sz val="10"/>
      <color rgb="FFFF0000"/>
      <name val="Calibri"/>
      <family val="2"/>
      <scheme val="minor"/>
    </font>
    <font>
      <i/>
      <sz val="18"/>
      <color theme="1"/>
      <name val="Calibri"/>
      <family val="2"/>
      <scheme val="minor"/>
    </font>
    <font>
      <sz val="9"/>
      <color theme="1"/>
      <name val="Arial"/>
      <family val="2"/>
    </font>
    <font>
      <sz val="7"/>
      <color theme="1"/>
      <name val="Arial"/>
      <family val="2"/>
    </font>
    <font>
      <sz val="8"/>
      <color theme="1"/>
      <name val="Arial"/>
      <family val="2"/>
    </font>
    <font>
      <sz val="10"/>
      <color theme="1"/>
      <name val="Arial"/>
      <family val="2"/>
    </font>
    <font>
      <b/>
      <sz val="9"/>
      <color indexed="81"/>
      <name val="Tahoma"/>
      <family val="2"/>
    </font>
    <font>
      <b/>
      <u/>
      <sz val="9"/>
      <color indexed="81"/>
      <name val="Tahoma"/>
      <family val="2"/>
    </font>
    <font>
      <b/>
      <u/>
      <sz val="14"/>
      <color rgb="FFFF0000"/>
      <name val="Calibri"/>
      <family val="2"/>
      <scheme val="minor"/>
    </font>
    <font>
      <sz val="12"/>
      <name val="Arial"/>
      <family val="2"/>
    </font>
    <font>
      <sz val="10"/>
      <name val="MS Sans Serif"/>
    </font>
    <font>
      <sz val="14"/>
      <color theme="1"/>
      <name val="Arial"/>
      <family val="2"/>
    </font>
    <font>
      <sz val="18"/>
      <color theme="1"/>
      <name val="Arial"/>
      <family val="2"/>
    </font>
    <font>
      <sz val="16"/>
      <color theme="1"/>
      <name val="Arial"/>
      <family val="2"/>
    </font>
    <font>
      <sz val="18"/>
      <color theme="1"/>
      <name val="Calibri"/>
      <family val="2"/>
      <scheme val="minor"/>
    </font>
    <font>
      <b/>
      <sz val="16"/>
      <color theme="1"/>
      <name val="Arial"/>
      <family val="2"/>
    </font>
    <font>
      <b/>
      <sz val="16"/>
      <color theme="1"/>
      <name val="Calibri"/>
      <family val="2"/>
      <scheme val="minor"/>
    </font>
    <font>
      <b/>
      <sz val="8"/>
      <color theme="1"/>
      <name val="Arial"/>
      <family val="2"/>
    </font>
    <font>
      <b/>
      <sz val="8"/>
      <color theme="1"/>
      <name val="Calibri"/>
      <family val="2"/>
      <scheme val="minor"/>
    </font>
    <font>
      <i/>
      <sz val="9"/>
      <name val="Arial"/>
      <family val="2"/>
    </font>
    <font>
      <i/>
      <sz val="9"/>
      <color theme="1"/>
      <name val="Arial"/>
      <family val="2"/>
    </font>
    <font>
      <sz val="14"/>
      <color theme="1"/>
      <name val="Calibri"/>
      <family val="2"/>
      <scheme val="minor"/>
    </font>
  </fonts>
  <fills count="22">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99"/>
        <bgColor indexed="64"/>
      </patternFill>
    </fill>
    <fill>
      <patternFill patternType="solid">
        <fgColor indexed="41"/>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9" tint="0.59999389629810485"/>
        <bgColor indexed="64"/>
      </patternFill>
    </fill>
    <fill>
      <patternFill patternType="solid">
        <fgColor rgb="FFFF99CC"/>
        <bgColor indexed="64"/>
      </patternFill>
    </fill>
    <fill>
      <patternFill patternType="solid">
        <fgColor rgb="FFFFC0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ashed">
        <color indexed="8"/>
      </bottom>
      <diagonal/>
    </border>
    <border>
      <left/>
      <right/>
      <top style="dashed">
        <color indexed="8"/>
      </top>
      <bottom/>
      <diagonal/>
    </border>
    <border>
      <left/>
      <right/>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top style="double">
        <color indexed="64"/>
      </top>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hair">
        <color auto="1"/>
      </left>
      <right style="hair">
        <color auto="1"/>
      </right>
      <top/>
      <bottom style="hair">
        <color auto="1"/>
      </bottom>
      <diagonal/>
    </border>
    <border>
      <left/>
      <right/>
      <top/>
      <bottom style="thin">
        <color rgb="FFFF0000"/>
      </bottom>
      <diagonal/>
    </border>
    <border>
      <left style="thin">
        <color indexed="64"/>
      </left>
      <right/>
      <top style="thin">
        <color indexed="64"/>
      </top>
      <bottom/>
      <diagonal/>
    </border>
    <border>
      <left/>
      <right style="thin">
        <color theme="0" tint="-0.14999847407452621"/>
      </right>
      <top style="medium">
        <color indexed="64"/>
      </top>
      <bottom style="thin">
        <color theme="0" tint="-0.14999847407452621"/>
      </bottom>
      <diagonal/>
    </border>
    <border>
      <left/>
      <right/>
      <top style="medium">
        <color indexed="64"/>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thin">
        <color indexed="64"/>
      </right>
      <top style="medium">
        <color indexed="64"/>
      </top>
      <bottom style="thin">
        <color theme="0" tint="-0.14999847407452621"/>
      </bottom>
      <diagonal/>
    </border>
    <border>
      <left style="thin">
        <color indexed="64"/>
      </left>
      <right style="thin">
        <color theme="0" tint="-0.14999847407452621"/>
      </right>
      <top style="medium">
        <color indexed="64"/>
      </top>
      <bottom style="thin">
        <color theme="0" tint="-0.14999847407452621"/>
      </bottom>
      <diagonal/>
    </border>
    <border>
      <left style="thin">
        <color indexed="64"/>
      </left>
      <right/>
      <top style="medium">
        <color indexed="64"/>
      </top>
      <bottom/>
      <diagonal/>
    </border>
    <border>
      <left/>
      <right style="thin">
        <color indexed="64"/>
      </right>
      <top style="medium">
        <color indexed="64"/>
      </top>
      <bottom/>
      <diagonal/>
    </border>
    <border>
      <left style="thin">
        <color theme="0" tint="-0.14999847407452621"/>
      </left>
      <right style="medium">
        <color indexed="64"/>
      </right>
      <top style="medium">
        <color indexed="64"/>
      </top>
      <bottom style="thin">
        <color theme="0" tint="-0.14999847407452621"/>
      </bottom>
      <diagonal/>
    </border>
    <border>
      <left/>
      <right style="thin">
        <color theme="0" tint="-0.14999847407452621"/>
      </right>
      <top style="thin">
        <color theme="0" tint="-0.14999847407452621"/>
      </top>
      <bottom style="medium">
        <color indexed="64"/>
      </bottom>
      <diagonal/>
    </border>
    <border>
      <left/>
      <right/>
      <top style="thin">
        <color theme="0" tint="-0.14999847407452621"/>
      </top>
      <bottom style="medium">
        <color indexed="64"/>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thin">
        <color indexed="64"/>
      </right>
      <top style="thin">
        <color theme="0" tint="-0.14999847407452621"/>
      </top>
      <bottom style="medium">
        <color indexed="64"/>
      </bottom>
      <diagonal/>
    </border>
    <border>
      <left style="thin">
        <color indexed="64"/>
      </left>
      <right style="thin">
        <color theme="0" tint="-0.14999847407452621"/>
      </right>
      <top style="thin">
        <color theme="0" tint="-0.14999847407452621"/>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theme="0" tint="-0.14999847407452621"/>
      </top>
      <bottom style="medium">
        <color indexed="64"/>
      </bottom>
      <diagonal/>
    </border>
    <border>
      <left/>
      <right style="medium">
        <color indexed="64"/>
      </right>
      <top style="thin">
        <color theme="0" tint="-0.14999847407452621"/>
      </top>
      <bottom style="medium">
        <color indexed="64"/>
      </bottom>
      <diagonal/>
    </border>
    <border>
      <left style="thin">
        <color theme="0" tint="-0.14999847407452621"/>
      </left>
      <right style="thin">
        <color theme="0" tint="-0.14999847407452621"/>
      </right>
      <top style="medium">
        <color indexed="64"/>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indexed="64"/>
      </right>
      <top/>
      <bottom style="thin">
        <color theme="0" tint="-0.14999847407452621"/>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indexed="64"/>
      </left>
      <right/>
      <top style="thin">
        <color theme="0" tint="-0.14999847407452621"/>
      </top>
      <bottom/>
      <diagonal/>
    </border>
    <border>
      <left/>
      <right style="thin">
        <color indexed="64"/>
      </right>
      <top style="thin">
        <color theme="0" tint="-0.14999847407452621"/>
      </top>
      <bottom style="thin">
        <color theme="0" tint="-0.14999847407452621"/>
      </bottom>
      <diagonal/>
    </border>
    <border>
      <left/>
      <right style="medium">
        <color indexed="64"/>
      </right>
      <top style="medium">
        <color indexed="64"/>
      </top>
      <bottom style="thin">
        <color theme="0" tint="-0.14999847407452621"/>
      </bottom>
      <diagonal/>
    </border>
    <border>
      <left/>
      <right style="medium">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diagonal/>
    </border>
    <border>
      <left/>
      <right style="medium">
        <color indexed="64"/>
      </right>
      <top style="thin">
        <color indexed="64"/>
      </top>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style="medium">
        <color indexed="64"/>
      </right>
      <top/>
      <bottom style="thin">
        <color theme="0" tint="-0.14999847407452621"/>
      </bottom>
      <diagonal/>
    </border>
    <border>
      <left style="medium">
        <color indexed="64"/>
      </left>
      <right style="thin">
        <color theme="0" tint="-0.14999847407452621"/>
      </right>
      <top/>
      <bottom style="thin">
        <color theme="0" tint="-0.14999847407452621"/>
      </bottom>
      <diagonal/>
    </border>
    <border>
      <left/>
      <right style="thin">
        <color indexed="64"/>
      </right>
      <top style="thin">
        <color theme="0" tint="-0.14999847407452621"/>
      </top>
      <bottom style="medium">
        <color indexed="64"/>
      </bottom>
      <diagonal/>
    </border>
    <border>
      <left style="medium">
        <color indexed="64"/>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medium">
        <color indexed="64"/>
      </top>
      <bottom/>
      <diagonal/>
    </border>
    <border>
      <left style="thin">
        <color theme="0" tint="-0.14999847407452621"/>
      </left>
      <right style="thin">
        <color indexed="64"/>
      </right>
      <top style="thin">
        <color theme="0" tint="-0.14999847407452621"/>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8"/>
      </bottom>
      <diagonal/>
    </border>
    <border>
      <left style="medium">
        <color indexed="64"/>
      </left>
      <right/>
      <top/>
      <bottom style="medium">
        <color indexed="8"/>
      </bottom>
      <diagonal/>
    </border>
    <border>
      <left style="hair">
        <color auto="1"/>
      </left>
      <right style="medium">
        <color indexed="64"/>
      </right>
      <top style="hair">
        <color auto="1"/>
      </top>
      <bottom style="hair">
        <color auto="1"/>
      </bottom>
      <diagonal/>
    </border>
    <border>
      <left style="medium">
        <color indexed="64"/>
      </left>
      <right/>
      <top/>
      <bottom style="dashed">
        <color indexed="8"/>
      </bottom>
      <diagonal/>
    </border>
    <border>
      <left style="hair">
        <color auto="1"/>
      </left>
      <right style="medium">
        <color indexed="64"/>
      </right>
      <top/>
      <bottom/>
      <diagonal/>
    </border>
    <border>
      <left style="medium">
        <color indexed="64"/>
      </left>
      <right/>
      <top style="dashed">
        <color indexed="8"/>
      </top>
      <bottom/>
      <diagonal/>
    </border>
    <border>
      <left style="hair">
        <color auto="1"/>
      </left>
      <right style="hair">
        <color auto="1"/>
      </right>
      <top style="hair">
        <color auto="1"/>
      </top>
      <bottom style="medium">
        <color indexed="64"/>
      </bottom>
      <diagonal/>
    </border>
    <border>
      <left style="hair">
        <color auto="1"/>
      </left>
      <right style="medium">
        <color indexed="64"/>
      </right>
      <top/>
      <bottom style="medium">
        <color indexed="64"/>
      </bottom>
      <diagonal/>
    </border>
    <border>
      <left/>
      <right style="thin">
        <color theme="0" tint="-0.14999847407452621"/>
      </right>
      <top/>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8" fontId="6" fillId="0" borderId="0" applyFont="0" applyFill="0" applyBorder="0" applyAlignment="0" applyProtection="0"/>
    <xf numFmtId="9" fontId="6" fillId="0" borderId="0" applyFont="0" applyFill="0" applyBorder="0" applyAlignment="0" applyProtection="0"/>
    <xf numFmtId="0" fontId="19" fillId="0" borderId="0" applyNumberFormat="0" applyFill="0" applyBorder="0" applyAlignment="0" applyProtection="0">
      <alignment vertical="top"/>
      <protection locked="0"/>
    </xf>
    <xf numFmtId="43" fontId="1" fillId="0" borderId="0" applyFont="0" applyFill="0" applyBorder="0" applyAlignment="0" applyProtection="0"/>
    <xf numFmtId="0" fontId="15" fillId="0" borderId="0"/>
    <xf numFmtId="44" fontId="15" fillId="0" borderId="0" applyFont="0" applyFill="0" applyBorder="0" applyAlignment="0" applyProtection="0"/>
    <xf numFmtId="0" fontId="34" fillId="0" borderId="0"/>
    <xf numFmtId="0" fontId="48" fillId="0" borderId="0"/>
  </cellStyleXfs>
  <cellXfs count="780">
    <xf numFmtId="0" fontId="0" fillId="0" borderId="0" xfId="0"/>
    <xf numFmtId="165" fontId="0" fillId="0" borderId="0" xfId="2" applyNumberFormat="1" applyFont="1"/>
    <xf numFmtId="0" fontId="3" fillId="0" borderId="0" xfId="0" applyFont="1" applyFill="1" applyBorder="1"/>
    <xf numFmtId="0" fontId="5" fillId="0" borderId="0" xfId="0" applyFont="1"/>
    <xf numFmtId="0" fontId="7" fillId="0" borderId="0" xfId="3" applyFont="1" applyFill="1" applyBorder="1" applyAlignment="1">
      <alignment horizontal="left"/>
    </xf>
    <xf numFmtId="0" fontId="8" fillId="0" borderId="0" xfId="3" applyFont="1" applyFill="1" applyBorder="1"/>
    <xf numFmtId="0" fontId="8" fillId="0" borderId="0" xfId="3" applyFont="1" applyFill="1" applyBorder="1" applyAlignment="1">
      <alignment horizontal="center"/>
    </xf>
    <xf numFmtId="0" fontId="9" fillId="0" borderId="0" xfId="3" applyFont="1" applyFill="1" applyBorder="1" applyAlignment="1">
      <alignment horizontal="center"/>
    </xf>
    <xf numFmtId="0" fontId="10" fillId="0" borderId="0" xfId="3" applyFont="1" applyBorder="1" applyAlignment="1">
      <alignment horizontal="right"/>
    </xf>
    <xf numFmtId="0" fontId="8" fillId="0" borderId="0" xfId="3" applyFont="1" applyBorder="1"/>
    <xf numFmtId="0" fontId="8" fillId="5" borderId="0" xfId="3" applyFont="1" applyFill="1" applyBorder="1" applyAlignment="1">
      <alignment vertical="center"/>
    </xf>
    <xf numFmtId="0" fontId="8" fillId="0" borderId="0" xfId="3" applyFont="1" applyFill="1" applyBorder="1" applyAlignment="1">
      <alignment horizontal="right"/>
    </xf>
    <xf numFmtId="0" fontId="3" fillId="0" borderId="0" xfId="3" applyFont="1" applyFill="1" applyBorder="1"/>
    <xf numFmtId="0" fontId="4" fillId="0" borderId="0" xfId="3" applyFont="1" applyFill="1" applyBorder="1"/>
    <xf numFmtId="0" fontId="3" fillId="0" borderId="0" xfId="3" applyFont="1" applyFill="1" applyBorder="1" applyAlignment="1">
      <alignment horizontal="right"/>
    </xf>
    <xf numFmtId="0" fontId="3" fillId="0" borderId="0" xfId="3" applyFont="1" applyBorder="1"/>
    <xf numFmtId="0" fontId="4" fillId="0" borderId="0" xfId="3" applyFont="1" applyBorder="1"/>
    <xf numFmtId="0" fontId="3" fillId="0" borderId="0" xfId="3" applyFont="1" applyBorder="1" applyAlignment="1">
      <alignment horizontal="right"/>
    </xf>
    <xf numFmtId="0" fontId="11" fillId="6" borderId="0" xfId="3" applyFont="1" applyFill="1" applyBorder="1" applyAlignment="1">
      <alignment horizontal="left"/>
    </xf>
    <xf numFmtId="0" fontId="3" fillId="6" borderId="0" xfId="3" applyFont="1" applyFill="1" applyBorder="1"/>
    <xf numFmtId="0" fontId="3" fillId="6" borderId="0" xfId="3" applyFont="1" applyFill="1" applyBorder="1" applyAlignment="1">
      <alignment horizontal="right"/>
    </xf>
    <xf numFmtId="0" fontId="13" fillId="0" borderId="0" xfId="3" applyFont="1" applyFill="1" applyBorder="1" applyAlignment="1">
      <alignment horizontal="center"/>
    </xf>
    <xf numFmtId="0" fontId="13" fillId="0" borderId="0" xfId="3" applyFont="1" applyFill="1" applyBorder="1"/>
    <xf numFmtId="0" fontId="6" fillId="0" borderId="0" xfId="3" applyBorder="1"/>
    <xf numFmtId="0" fontId="9" fillId="0" borderId="6" xfId="3" applyFont="1" applyFill="1" applyBorder="1" applyAlignment="1">
      <alignment horizontal="center"/>
    </xf>
    <xf numFmtId="0" fontId="3" fillId="0" borderId="0" xfId="3" applyFont="1" applyFill="1" applyBorder="1" applyAlignment="1">
      <alignment horizontal="center"/>
    </xf>
    <xf numFmtId="10" fontId="3" fillId="0" borderId="0" xfId="3" applyNumberFormat="1" applyFont="1" applyFill="1" applyBorder="1" applyAlignment="1">
      <alignment horizontal="right"/>
    </xf>
    <xf numFmtId="0" fontId="3" fillId="0" borderId="4" xfId="3" applyFont="1" applyFill="1" applyBorder="1" applyAlignment="1">
      <alignment horizontal="center"/>
    </xf>
    <xf numFmtId="0" fontId="3" fillId="0" borderId="4" xfId="3" applyFont="1" applyFill="1" applyBorder="1"/>
    <xf numFmtId="0" fontId="3" fillId="0" borderId="5" xfId="3" applyFont="1" applyFill="1" applyBorder="1" applyAlignment="1">
      <alignment horizontal="center"/>
    </xf>
    <xf numFmtId="0" fontId="3" fillId="0" borderId="5" xfId="3" applyFont="1" applyFill="1" applyBorder="1"/>
    <xf numFmtId="0" fontId="4" fillId="0" borderId="4" xfId="3" applyFont="1" applyFill="1" applyBorder="1"/>
    <xf numFmtId="0" fontId="14" fillId="0" borderId="0" xfId="3" applyFont="1" applyFill="1" applyBorder="1"/>
    <xf numFmtId="0" fontId="3" fillId="4" borderId="0" xfId="3" applyFont="1" applyFill="1" applyBorder="1" applyAlignment="1">
      <alignment horizontal="center"/>
    </xf>
    <xf numFmtId="0" fontId="3" fillId="4" borderId="4" xfId="3" applyFont="1" applyFill="1" applyBorder="1" applyAlignment="1">
      <alignment horizontal="center"/>
    </xf>
    <xf numFmtId="0" fontId="3" fillId="6" borderId="0" xfId="3" applyFont="1" applyFill="1" applyBorder="1" applyAlignment="1">
      <alignment horizontal="centerContinuous"/>
    </xf>
    <xf numFmtId="49" fontId="3" fillId="0" borderId="0" xfId="3" applyNumberFormat="1" applyFont="1" applyBorder="1"/>
    <xf numFmtId="0" fontId="17" fillId="0" borderId="6" xfId="3" applyFont="1" applyFill="1" applyBorder="1" applyAlignment="1">
      <alignment wrapText="1"/>
    </xf>
    <xf numFmtId="0" fontId="3" fillId="0" borderId="6" xfId="3" applyFont="1" applyFill="1" applyBorder="1"/>
    <xf numFmtId="0" fontId="3" fillId="0" borderId="0" xfId="3" quotePrefix="1" applyFont="1" applyFill="1" applyBorder="1" applyAlignment="1">
      <alignment horizontal="center"/>
    </xf>
    <xf numFmtId="165" fontId="3" fillId="0" borderId="0" xfId="3" applyNumberFormat="1" applyFont="1" applyFill="1" applyBorder="1" applyAlignment="1">
      <alignment horizontal="center"/>
    </xf>
    <xf numFmtId="0" fontId="15" fillId="0" borderId="0" xfId="3" applyFont="1" applyBorder="1"/>
    <xf numFmtId="49" fontId="3" fillId="0" borderId="0" xfId="3" applyNumberFormat="1" applyFont="1" applyFill="1" applyBorder="1"/>
    <xf numFmtId="0" fontId="3" fillId="0" borderId="0" xfId="3" applyNumberFormat="1" applyFont="1" applyFill="1" applyBorder="1"/>
    <xf numFmtId="0" fontId="4" fillId="0" borderId="6" xfId="3" applyFont="1" applyFill="1" applyBorder="1"/>
    <xf numFmtId="0" fontId="3" fillId="0" borderId="6" xfId="3" applyFont="1" applyFill="1" applyBorder="1" applyAlignment="1">
      <alignment horizontal="center"/>
    </xf>
    <xf numFmtId="0" fontId="3" fillId="4" borderId="0" xfId="3" applyFont="1" applyFill="1" applyBorder="1" applyAlignment="1">
      <alignment horizontal="right"/>
    </xf>
    <xf numFmtId="167" fontId="3" fillId="0" borderId="0" xfId="5" quotePrefix="1" applyNumberFormat="1" applyFont="1" applyFill="1" applyBorder="1" applyAlignment="1">
      <alignment horizontal="right"/>
    </xf>
    <xf numFmtId="49" fontId="3" fillId="0" borderId="0" xfId="3" applyNumberFormat="1" applyFont="1" applyFill="1" applyBorder="1" applyAlignment="1">
      <alignment horizontal="left"/>
    </xf>
    <xf numFmtId="0" fontId="3" fillId="0" borderId="4" xfId="3" applyFont="1" applyFill="1" applyBorder="1" applyAlignment="1">
      <alignment horizontal="left"/>
    </xf>
    <xf numFmtId="0" fontId="3" fillId="4" borderId="4" xfId="3" applyFont="1" applyFill="1" applyBorder="1" applyAlignment="1">
      <alignment horizontal="right"/>
    </xf>
    <xf numFmtId="0" fontId="3" fillId="0" borderId="0" xfId="3" applyFont="1" applyFill="1" applyBorder="1" applyAlignment="1">
      <alignment horizontal="left"/>
    </xf>
    <xf numFmtId="0" fontId="18" fillId="0" borderId="0" xfId="3" applyFont="1" applyFill="1" applyBorder="1" applyAlignment="1">
      <alignment horizontal="left"/>
    </xf>
    <xf numFmtId="0" fontId="13" fillId="0" borderId="0" xfId="3" applyFont="1" applyFill="1" applyBorder="1" applyAlignment="1">
      <alignment horizontal="right"/>
    </xf>
    <xf numFmtId="5" fontId="19" fillId="0" borderId="0" xfId="6" applyNumberFormat="1" applyFill="1" applyBorder="1" applyAlignment="1" applyProtection="1"/>
    <xf numFmtId="0" fontId="4" fillId="0" borderId="0" xfId="3" applyFont="1" applyFill="1" applyBorder="1" applyAlignment="1">
      <alignment horizontal="right"/>
    </xf>
    <xf numFmtId="10" fontId="19" fillId="0" borderId="0" xfId="6" applyNumberFormat="1" applyFill="1" applyBorder="1" applyAlignment="1" applyProtection="1">
      <alignment horizontal="center"/>
    </xf>
    <xf numFmtId="165" fontId="3" fillId="0" borderId="0" xfId="3" applyNumberFormat="1" applyFont="1" applyFill="1" applyBorder="1" applyAlignment="1">
      <alignment horizontal="right"/>
    </xf>
    <xf numFmtId="5" fontId="14" fillId="0" borderId="0" xfId="3" applyNumberFormat="1" applyFont="1" applyFill="1" applyBorder="1" applyAlignment="1"/>
    <xf numFmtId="10" fontId="3" fillId="0" borderId="0" xfId="3" applyNumberFormat="1" applyFont="1" applyFill="1" applyBorder="1" applyAlignment="1">
      <alignment horizontal="center"/>
    </xf>
    <xf numFmtId="5" fontId="19" fillId="0" borderId="0" xfId="6" applyNumberFormat="1" applyFont="1" applyFill="1" applyBorder="1" applyAlignment="1" applyProtection="1"/>
    <xf numFmtId="0" fontId="14" fillId="0" borderId="0" xfId="3" quotePrefix="1" applyFont="1" applyFill="1" applyBorder="1"/>
    <xf numFmtId="0" fontId="3" fillId="0" borderId="0" xfId="3" applyNumberFormat="1" applyFont="1" applyBorder="1"/>
    <xf numFmtId="8" fontId="19" fillId="0" borderId="0" xfId="6" applyNumberFormat="1" applyFill="1" applyBorder="1" applyAlignment="1" applyProtection="1">
      <alignment horizontal="center"/>
    </xf>
    <xf numFmtId="0" fontId="4" fillId="0" borderId="5" xfId="3" applyFont="1" applyFill="1" applyBorder="1"/>
    <xf numFmtId="0" fontId="3" fillId="4" borderId="5" xfId="3" applyFont="1" applyFill="1" applyBorder="1" applyAlignment="1">
      <alignment horizontal="center"/>
    </xf>
    <xf numFmtId="0" fontId="3" fillId="4" borderId="5" xfId="3" applyFont="1" applyFill="1" applyBorder="1" applyAlignment="1">
      <alignment horizontal="right"/>
    </xf>
    <xf numFmtId="0" fontId="0" fillId="3" borderId="8" xfId="0" applyFill="1" applyBorder="1"/>
    <xf numFmtId="5" fontId="3" fillId="2" borderId="0" xfId="3" applyNumberFormat="1" applyFont="1" applyFill="1" applyBorder="1" applyAlignment="1">
      <alignment horizontal="right"/>
    </xf>
    <xf numFmtId="5" fontId="3" fillId="2" borderId="0" xfId="4" applyNumberFormat="1" applyFont="1" applyFill="1" applyBorder="1"/>
    <xf numFmtId="7" fontId="3" fillId="2" borderId="0" xfId="3" quotePrefix="1" applyNumberFormat="1" applyFont="1" applyFill="1" applyBorder="1" applyAlignment="1">
      <alignment horizontal="right"/>
    </xf>
    <xf numFmtId="44" fontId="0" fillId="3" borderId="8" xfId="0" applyNumberFormat="1" applyFill="1" applyBorder="1"/>
    <xf numFmtId="44" fontId="0" fillId="3" borderId="9" xfId="0" applyNumberFormat="1" applyFill="1" applyBorder="1"/>
    <xf numFmtId="0" fontId="0" fillId="8" borderId="0" xfId="0" applyFill="1"/>
    <xf numFmtId="0" fontId="0" fillId="9" borderId="0" xfId="0" applyFill="1"/>
    <xf numFmtId="0" fontId="0" fillId="10" borderId="17" xfId="0" applyFill="1" applyBorder="1"/>
    <xf numFmtId="0" fontId="0" fillId="10" borderId="18" xfId="0" applyFill="1" applyBorder="1"/>
    <xf numFmtId="0" fontId="0" fillId="10" borderId="19" xfId="0" applyFill="1" applyBorder="1"/>
    <xf numFmtId="0" fontId="0" fillId="10" borderId="20" xfId="0" applyFill="1" applyBorder="1"/>
    <xf numFmtId="0" fontId="21" fillId="10" borderId="0" xfId="0" applyFont="1" applyFill="1" applyBorder="1"/>
    <xf numFmtId="0" fontId="0" fillId="10" borderId="0" xfId="0" applyFill="1" applyBorder="1"/>
    <xf numFmtId="0" fontId="0" fillId="10" borderId="21" xfId="0" applyFill="1" applyBorder="1"/>
    <xf numFmtId="0" fontId="2" fillId="10" borderId="0" xfId="0" applyFont="1" applyFill="1" applyBorder="1"/>
    <xf numFmtId="0" fontId="0" fillId="10" borderId="0" xfId="0" applyFill="1" applyBorder="1" applyAlignment="1"/>
    <xf numFmtId="0" fontId="0" fillId="10" borderId="22" xfId="0" applyFill="1" applyBorder="1"/>
    <xf numFmtId="0" fontId="0" fillId="10" borderId="3" xfId="0" applyFill="1" applyBorder="1"/>
    <xf numFmtId="0" fontId="0" fillId="10" borderId="23" xfId="0" applyFill="1" applyBorder="1"/>
    <xf numFmtId="44" fontId="0" fillId="10" borderId="0" xfId="0" applyNumberFormat="1" applyFill="1" applyBorder="1"/>
    <xf numFmtId="44" fontId="0" fillId="10" borderId="14" xfId="0" applyNumberFormat="1" applyFill="1" applyBorder="1"/>
    <xf numFmtId="0" fontId="22" fillId="10" borderId="0" xfId="0" applyFont="1" applyFill="1" applyBorder="1" applyAlignment="1">
      <alignment horizontal="center" wrapText="1"/>
    </xf>
    <xf numFmtId="0" fontId="0" fillId="10" borderId="0" xfId="0" applyFill="1" applyBorder="1" applyAlignment="1">
      <alignment horizontal="right"/>
    </xf>
    <xf numFmtId="44" fontId="0" fillId="10" borderId="8" xfId="0" applyNumberFormat="1" applyFill="1" applyBorder="1"/>
    <xf numFmtId="44" fontId="0" fillId="10" borderId="9" xfId="0" applyNumberFormat="1" applyFill="1" applyBorder="1"/>
    <xf numFmtId="44" fontId="0" fillId="10" borderId="14" xfId="1" applyFont="1" applyFill="1" applyBorder="1"/>
    <xf numFmtId="0" fontId="0" fillId="10" borderId="12" xfId="0" applyFill="1" applyBorder="1" applyAlignment="1"/>
    <xf numFmtId="0" fontId="0" fillId="10" borderId="12" xfId="0" applyFill="1" applyBorder="1"/>
    <xf numFmtId="0" fontId="0" fillId="10" borderId="16" xfId="0" applyFill="1" applyBorder="1" applyAlignment="1"/>
    <xf numFmtId="0" fontId="0" fillId="10" borderId="1" xfId="0" applyFill="1" applyBorder="1"/>
    <xf numFmtId="0" fontId="0" fillId="10" borderId="16" xfId="0" applyFill="1" applyBorder="1"/>
    <xf numFmtId="0" fontId="2" fillId="10" borderId="1" xfId="0" applyFont="1" applyFill="1" applyBorder="1"/>
    <xf numFmtId="0" fontId="0" fillId="10" borderId="1" xfId="0" applyFill="1" applyBorder="1" applyAlignment="1"/>
    <xf numFmtId="164" fontId="0" fillId="0" borderId="0" xfId="0" applyNumberFormat="1"/>
    <xf numFmtId="0" fontId="22" fillId="10" borderId="0" xfId="0" applyFont="1" applyFill="1" applyBorder="1" applyAlignment="1">
      <alignment horizontal="right"/>
    </xf>
    <xf numFmtId="0" fontId="22" fillId="10" borderId="17" xfId="0" applyFont="1" applyFill="1" applyBorder="1" applyAlignment="1">
      <alignment horizontal="center" wrapText="1"/>
    </xf>
    <xf numFmtId="0" fontId="22" fillId="10" borderId="18" xfId="0" applyFont="1" applyFill="1" applyBorder="1" applyAlignment="1">
      <alignment horizontal="center" wrapText="1"/>
    </xf>
    <xf numFmtId="0" fontId="0" fillId="3" borderId="3" xfId="0" applyFill="1" applyBorder="1"/>
    <xf numFmtId="0" fontId="22" fillId="10" borderId="17" xfId="0" applyFont="1" applyFill="1" applyBorder="1" applyAlignment="1">
      <alignment horizontal="right"/>
    </xf>
    <xf numFmtId="0" fontId="22" fillId="10" borderId="22" xfId="0" applyFont="1" applyFill="1" applyBorder="1" applyAlignment="1">
      <alignment horizontal="right"/>
    </xf>
    <xf numFmtId="9" fontId="0" fillId="0" borderId="0" xfId="2" applyFont="1"/>
    <xf numFmtId="9" fontId="0" fillId="0" borderId="0" xfId="0" applyNumberFormat="1"/>
    <xf numFmtId="0" fontId="22" fillId="10" borderId="1" xfId="0" applyFont="1" applyFill="1" applyBorder="1" applyAlignment="1">
      <alignment horizontal="center" wrapText="1"/>
    </xf>
    <xf numFmtId="0" fontId="0" fillId="0" borderId="20" xfId="0" applyBorder="1"/>
    <xf numFmtId="0" fontId="0" fillId="0" borderId="36" xfId="0" applyBorder="1"/>
    <xf numFmtId="0" fontId="0" fillId="0" borderId="22" xfId="0" applyBorder="1"/>
    <xf numFmtId="0" fontId="0" fillId="0" borderId="0" xfId="0" applyBorder="1"/>
    <xf numFmtId="0" fontId="22" fillId="10" borderId="0" xfId="0" applyFont="1" applyFill="1" applyBorder="1"/>
    <xf numFmtId="43" fontId="0" fillId="2" borderId="0" xfId="7" applyFont="1" applyFill="1" applyBorder="1"/>
    <xf numFmtId="43" fontId="0" fillId="2" borderId="1" xfId="7" applyFont="1" applyFill="1" applyBorder="1"/>
    <xf numFmtId="43" fontId="0" fillId="0" borderId="0" xfId="7" applyFont="1" applyFill="1" applyBorder="1"/>
    <xf numFmtId="43" fontId="0" fillId="0" borderId="1" xfId="7" applyFont="1" applyFill="1" applyBorder="1"/>
    <xf numFmtId="0" fontId="0" fillId="10" borderId="19" xfId="0" applyFill="1" applyBorder="1" applyAlignment="1">
      <alignment horizontal="right"/>
    </xf>
    <xf numFmtId="0" fontId="22" fillId="10" borderId="20" xfId="0" applyFont="1" applyFill="1" applyBorder="1" applyAlignment="1">
      <alignment horizontal="right"/>
    </xf>
    <xf numFmtId="0" fontId="0" fillId="10" borderId="21" xfId="0" applyFill="1" applyBorder="1" applyAlignment="1">
      <alignment horizontal="right"/>
    </xf>
    <xf numFmtId="0" fontId="0" fillId="10" borderId="23" xfId="0" applyFill="1" applyBorder="1" applyAlignment="1">
      <alignment horizontal="right"/>
    </xf>
    <xf numFmtId="0" fontId="0" fillId="0" borderId="13" xfId="0" applyBorder="1"/>
    <xf numFmtId="0" fontId="0" fillId="0" borderId="14" xfId="0" applyBorder="1"/>
    <xf numFmtId="0" fontId="0" fillId="0" borderId="38" xfId="0" applyBorder="1"/>
    <xf numFmtId="0" fontId="26" fillId="3" borderId="39" xfId="0" applyFont="1" applyFill="1" applyBorder="1"/>
    <xf numFmtId="0" fontId="26" fillId="3" borderId="35" xfId="0" applyFont="1" applyFill="1" applyBorder="1"/>
    <xf numFmtId="43" fontId="0" fillId="2" borderId="21" xfId="7" applyFont="1" applyFill="1" applyBorder="1"/>
    <xf numFmtId="43" fontId="0" fillId="2" borderId="37" xfId="7" applyFont="1" applyFill="1" applyBorder="1"/>
    <xf numFmtId="43" fontId="0" fillId="0" borderId="21" xfId="7" applyFont="1" applyFill="1" applyBorder="1"/>
    <xf numFmtId="43" fontId="0" fillId="0" borderId="37" xfId="7" applyFont="1" applyFill="1" applyBorder="1"/>
    <xf numFmtId="43" fontId="0" fillId="0" borderId="3" xfId="7" applyFont="1" applyFill="1" applyBorder="1"/>
    <xf numFmtId="43" fontId="0" fillId="0" borderId="23" xfId="7" applyFont="1" applyFill="1" applyBorder="1"/>
    <xf numFmtId="0" fontId="0" fillId="0" borderId="13" xfId="0" applyBorder="1" applyAlignment="1">
      <alignment horizontal="center"/>
    </xf>
    <xf numFmtId="0" fontId="0" fillId="0" borderId="38" xfId="0" applyBorder="1" applyAlignment="1">
      <alignment horizontal="center"/>
    </xf>
    <xf numFmtId="0" fontId="25" fillId="10" borderId="1" xfId="0" applyFont="1" applyFill="1" applyBorder="1" applyAlignment="1">
      <alignment horizontal="center" wrapText="1"/>
    </xf>
    <xf numFmtId="0" fontId="0" fillId="3" borderId="12" xfId="0" applyFill="1" applyBorder="1"/>
    <xf numFmtId="44" fontId="0" fillId="3" borderId="9" xfId="1" applyFont="1" applyFill="1" applyBorder="1" applyAlignment="1">
      <alignment horizontal="center"/>
    </xf>
    <xf numFmtId="44" fontId="0" fillId="3" borderId="2" xfId="1" applyFont="1" applyFill="1" applyBorder="1" applyAlignment="1">
      <alignment horizontal="center"/>
    </xf>
    <xf numFmtId="0" fontId="0" fillId="3" borderId="9" xfId="0" applyFill="1" applyBorder="1"/>
    <xf numFmtId="0" fontId="0" fillId="0" borderId="0" xfId="0" applyAlignment="1">
      <alignment horizontal="left"/>
    </xf>
    <xf numFmtId="0" fontId="22" fillId="10" borderId="17" xfId="0" applyFont="1" applyFill="1" applyBorder="1" applyAlignment="1">
      <alignment horizontal="left"/>
    </xf>
    <xf numFmtId="0" fontId="22" fillId="10" borderId="20" xfId="0" applyFont="1" applyFill="1" applyBorder="1" applyAlignment="1">
      <alignment horizontal="left"/>
    </xf>
    <xf numFmtId="0" fontId="22" fillId="10" borderId="22" xfId="0" applyFont="1" applyFill="1" applyBorder="1" applyAlignment="1">
      <alignment horizontal="left"/>
    </xf>
    <xf numFmtId="0" fontId="0" fillId="0" borderId="14" xfId="0" applyBorder="1" applyAlignment="1">
      <alignment horizontal="center"/>
    </xf>
    <xf numFmtId="0" fontId="2" fillId="0" borderId="0" xfId="0" applyFont="1"/>
    <xf numFmtId="44" fontId="0" fillId="3" borderId="7" xfId="0" applyNumberFormat="1" applyFill="1" applyBorder="1"/>
    <xf numFmtId="0" fontId="0" fillId="11" borderId="0" xfId="0" applyFill="1" applyBorder="1"/>
    <xf numFmtId="0" fontId="2" fillId="10" borderId="0" xfId="0" applyFont="1" applyFill="1" applyBorder="1" applyAlignment="1">
      <alignment horizontal="right"/>
    </xf>
    <xf numFmtId="44" fontId="2" fillId="10" borderId="2" xfId="0" applyNumberFormat="1" applyFont="1" applyFill="1" applyBorder="1"/>
    <xf numFmtId="0" fontId="23" fillId="10" borderId="0" xfId="0" applyFont="1" applyFill="1" applyBorder="1" applyAlignment="1">
      <alignment vertical="top"/>
    </xf>
    <xf numFmtId="7" fontId="0" fillId="10" borderId="32" xfId="1" applyNumberFormat="1" applyFont="1" applyFill="1" applyBorder="1"/>
    <xf numFmtId="10" fontId="0" fillId="10" borderId="33" xfId="0" applyNumberFormat="1" applyFill="1" applyBorder="1"/>
    <xf numFmtId="44" fontId="0" fillId="10" borderId="0" xfId="1" applyFont="1" applyFill="1" applyBorder="1"/>
    <xf numFmtId="44" fontId="0" fillId="10" borderId="3" xfId="0" applyNumberFormat="1" applyFill="1" applyBorder="1"/>
    <xf numFmtId="0" fontId="28" fillId="0" borderId="0" xfId="8" applyFont="1"/>
    <xf numFmtId="44" fontId="28" fillId="0" borderId="0" xfId="9" applyFont="1"/>
    <xf numFmtId="44" fontId="28" fillId="0" borderId="0" xfId="8" applyNumberFormat="1" applyFont="1"/>
    <xf numFmtId="44" fontId="28" fillId="0" borderId="0" xfId="8" applyNumberFormat="1" applyFont="1" applyFill="1"/>
    <xf numFmtId="0" fontId="28" fillId="0" borderId="0" xfId="8" applyFont="1" applyAlignment="1">
      <alignment horizontal="center" wrapText="1"/>
    </xf>
    <xf numFmtId="0" fontId="28" fillId="0" borderId="0" xfId="8" quotePrefix="1" applyFont="1" applyAlignment="1">
      <alignment horizontal="center" wrapText="1"/>
    </xf>
    <xf numFmtId="171" fontId="0" fillId="10" borderId="0" xfId="0" applyNumberFormat="1" applyFill="1" applyBorder="1"/>
    <xf numFmtId="44" fontId="0" fillId="0" borderId="0" xfId="0" applyNumberFormat="1"/>
    <xf numFmtId="0" fontId="0" fillId="10" borderId="41" xfId="0" applyFill="1" applyBorder="1"/>
    <xf numFmtId="0" fontId="0" fillId="10" borderId="42" xfId="0" applyFill="1" applyBorder="1"/>
    <xf numFmtId="0" fontId="0" fillId="10" borderId="43" xfId="0" applyFill="1" applyBorder="1"/>
    <xf numFmtId="44" fontId="0" fillId="10" borderId="42" xfId="0" applyNumberFormat="1" applyFill="1" applyBorder="1"/>
    <xf numFmtId="0" fontId="0" fillId="10" borderId="41" xfId="0" applyFill="1" applyBorder="1" applyAlignment="1"/>
    <xf numFmtId="0" fontId="0" fillId="10" borderId="44" xfId="0" applyFill="1" applyBorder="1"/>
    <xf numFmtId="0" fontId="22" fillId="10" borderId="42" xfId="0" applyFont="1" applyFill="1" applyBorder="1" applyAlignment="1">
      <alignment horizontal="center" wrapText="1"/>
    </xf>
    <xf numFmtId="44" fontId="0" fillId="10" borderId="42" xfId="1" applyFont="1" applyFill="1" applyBorder="1" applyAlignment="1"/>
    <xf numFmtId="0" fontId="25" fillId="10" borderId="42" xfId="0" applyFont="1" applyFill="1" applyBorder="1" applyAlignment="1">
      <alignment horizontal="right" wrapText="1"/>
    </xf>
    <xf numFmtId="0" fontId="0" fillId="10" borderId="37" xfId="0" applyFill="1" applyBorder="1"/>
    <xf numFmtId="0" fontId="22" fillId="10" borderId="35" xfId="0" applyFont="1" applyFill="1" applyBorder="1" applyAlignment="1">
      <alignment horizontal="center" wrapText="1"/>
    </xf>
    <xf numFmtId="0" fontId="0" fillId="10" borderId="45" xfId="0" applyFill="1" applyBorder="1"/>
    <xf numFmtId="0" fontId="0" fillId="10" borderId="46" xfId="0" applyFill="1" applyBorder="1"/>
    <xf numFmtId="0" fontId="0" fillId="10" borderId="47" xfId="0" applyFill="1" applyBorder="1"/>
    <xf numFmtId="0" fontId="0" fillId="10" borderId="45" xfId="0" applyFill="1" applyBorder="1" applyAlignment="1"/>
    <xf numFmtId="0" fontId="0" fillId="10" borderId="14" xfId="0" applyFill="1" applyBorder="1"/>
    <xf numFmtId="44" fontId="2" fillId="10" borderId="14" xfId="0" applyNumberFormat="1" applyFont="1" applyFill="1" applyBorder="1"/>
    <xf numFmtId="0" fontId="0" fillId="10" borderId="48" xfId="0" applyFill="1" applyBorder="1"/>
    <xf numFmtId="44" fontId="0" fillId="10" borderId="1" xfId="0" applyNumberFormat="1" applyFill="1" applyBorder="1"/>
    <xf numFmtId="0" fontId="0" fillId="10" borderId="9" xfId="0" applyFill="1" applyBorder="1"/>
    <xf numFmtId="0" fontId="0" fillId="10" borderId="8" xfId="0" applyFill="1" applyBorder="1"/>
    <xf numFmtId="0" fontId="2" fillId="12" borderId="10" xfId="0" applyFont="1" applyFill="1" applyBorder="1"/>
    <xf numFmtId="0" fontId="0" fillId="12" borderId="10" xfId="0" applyFill="1" applyBorder="1"/>
    <xf numFmtId="44" fontId="2" fillId="12" borderId="40" xfId="0" applyNumberFormat="1" applyFont="1" applyFill="1" applyBorder="1"/>
    <xf numFmtId="0" fontId="2" fillId="12" borderId="10" xfId="0" applyFont="1" applyFill="1" applyBorder="1" applyAlignment="1"/>
    <xf numFmtId="0" fontId="2" fillId="12" borderId="15" xfId="0" applyFont="1" applyFill="1" applyBorder="1"/>
    <xf numFmtId="0" fontId="0" fillId="12" borderId="24" xfId="0" applyFill="1" applyBorder="1"/>
    <xf numFmtId="44" fontId="0" fillId="12" borderId="24" xfId="0" applyNumberFormat="1" applyFill="1" applyBorder="1"/>
    <xf numFmtId="44" fontId="2" fillId="12" borderId="25" xfId="1" applyFont="1" applyFill="1" applyBorder="1"/>
    <xf numFmtId="0" fontId="2" fillId="10" borderId="10" xfId="0" applyFont="1" applyFill="1" applyBorder="1"/>
    <xf numFmtId="0" fontId="2" fillId="10" borderId="10" xfId="0" applyFont="1" applyFill="1" applyBorder="1" applyAlignment="1"/>
    <xf numFmtId="0" fontId="2" fillId="10" borderId="0" xfId="0" applyFont="1" applyFill="1" applyBorder="1" applyAlignment="1"/>
    <xf numFmtId="44" fontId="2" fillId="12" borderId="26" xfId="0" applyNumberFormat="1" applyFont="1" applyFill="1" applyBorder="1"/>
    <xf numFmtId="44" fontId="2" fillId="12" borderId="2" xfId="0" applyNumberFormat="1" applyFont="1" applyFill="1" applyBorder="1"/>
    <xf numFmtId="44" fontId="0" fillId="10" borderId="21" xfId="1" applyFont="1" applyFill="1" applyBorder="1"/>
    <xf numFmtId="170" fontId="0" fillId="3" borderId="14" xfId="0" applyNumberFormat="1" applyFill="1" applyBorder="1"/>
    <xf numFmtId="44" fontId="0" fillId="3" borderId="14" xfId="0" applyNumberFormat="1" applyFill="1" applyBorder="1"/>
    <xf numFmtId="44" fontId="0" fillId="10" borderId="48" xfId="0" applyNumberFormat="1" applyFill="1" applyBorder="1"/>
    <xf numFmtId="0" fontId="22" fillId="3" borderId="2" xfId="0" applyFont="1" applyFill="1" applyBorder="1" applyAlignment="1">
      <alignment horizontal="center" wrapText="1"/>
    </xf>
    <xf numFmtId="44" fontId="0" fillId="3" borderId="2" xfId="0" applyNumberFormat="1" applyFill="1" applyBorder="1"/>
    <xf numFmtId="44" fontId="0" fillId="10" borderId="21" xfId="1" applyNumberFormat="1" applyFont="1" applyFill="1" applyBorder="1"/>
    <xf numFmtId="0" fontId="0" fillId="10" borderId="15" xfId="0" applyFill="1" applyBorder="1" applyAlignment="1"/>
    <xf numFmtId="0" fontId="0" fillId="10" borderId="24" xfId="0" applyFill="1" applyBorder="1"/>
    <xf numFmtId="7" fontId="0" fillId="10" borderId="8" xfId="1" applyNumberFormat="1" applyFont="1" applyFill="1" applyBorder="1"/>
    <xf numFmtId="0" fontId="22" fillId="10" borderId="43" xfId="0" applyFont="1" applyFill="1" applyBorder="1" applyAlignment="1">
      <alignment horizontal="right"/>
    </xf>
    <xf numFmtId="10" fontId="0" fillId="10" borderId="51" xfId="0" applyNumberFormat="1" applyFill="1" applyBorder="1"/>
    <xf numFmtId="0" fontId="31" fillId="10" borderId="1" xfId="0" applyFont="1" applyFill="1" applyBorder="1" applyAlignment="1">
      <alignment horizontal="center" wrapText="1"/>
    </xf>
    <xf numFmtId="43" fontId="29" fillId="10" borderId="2" xfId="7" applyFont="1" applyFill="1" applyBorder="1"/>
    <xf numFmtId="9" fontId="29" fillId="10" borderId="2" xfId="0" applyNumberFormat="1" applyFont="1" applyFill="1" applyBorder="1" applyAlignment="1">
      <alignment horizontal="center"/>
    </xf>
    <xf numFmtId="43" fontId="29" fillId="3" borderId="2" xfId="7" applyFont="1" applyFill="1" applyBorder="1"/>
    <xf numFmtId="9" fontId="29" fillId="10" borderId="2" xfId="2" applyFont="1" applyFill="1" applyBorder="1" applyAlignment="1">
      <alignment horizontal="center"/>
    </xf>
    <xf numFmtId="0" fontId="31" fillId="10" borderId="20" xfId="0" applyFont="1" applyFill="1" applyBorder="1" applyAlignment="1">
      <alignment horizontal="right"/>
    </xf>
    <xf numFmtId="0" fontId="31" fillId="10" borderId="31" xfId="0" applyFont="1" applyFill="1" applyBorder="1" applyAlignment="1">
      <alignment horizontal="right"/>
    </xf>
    <xf numFmtId="44" fontId="2" fillId="10" borderId="0" xfId="1" applyFont="1" applyFill="1" applyBorder="1"/>
    <xf numFmtId="0" fontId="2" fillId="10" borderId="16" xfId="0" applyFont="1" applyFill="1" applyBorder="1"/>
    <xf numFmtId="0" fontId="2" fillId="10" borderId="16" xfId="0" applyFont="1" applyFill="1" applyBorder="1" applyAlignment="1"/>
    <xf numFmtId="0" fontId="2" fillId="10" borderId="45" xfId="0" applyFont="1" applyFill="1" applyBorder="1" applyAlignment="1"/>
    <xf numFmtId="0" fontId="0" fillId="11" borderId="52" xfId="0" applyFill="1" applyBorder="1"/>
    <xf numFmtId="44" fontId="0" fillId="10" borderId="54" xfId="0" applyNumberFormat="1" applyFill="1" applyBorder="1"/>
    <xf numFmtId="43" fontId="28" fillId="0" borderId="0" xfId="7" applyFont="1"/>
    <xf numFmtId="172" fontId="28" fillId="0" borderId="0" xfId="8" applyNumberFormat="1" applyFont="1"/>
    <xf numFmtId="0" fontId="0" fillId="9" borderId="0" xfId="0" applyFill="1" applyAlignment="1">
      <alignment horizontal="center"/>
    </xf>
    <xf numFmtId="0" fontId="0" fillId="8" borderId="0" xfId="0" applyFill="1" applyAlignment="1">
      <alignment horizontal="center"/>
    </xf>
    <xf numFmtId="0" fontId="0" fillId="10" borderId="1" xfId="0" applyFill="1" applyBorder="1" applyAlignment="1">
      <alignment horizontal="center"/>
    </xf>
    <xf numFmtId="0" fontId="0" fillId="10" borderId="3" xfId="0" applyFill="1" applyBorder="1" applyAlignment="1">
      <alignment horizontal="center"/>
    </xf>
    <xf numFmtId="0" fontId="0" fillId="0" borderId="0" xfId="0" applyAlignment="1">
      <alignment horizontal="center"/>
    </xf>
    <xf numFmtId="0" fontId="0" fillId="2" borderId="0" xfId="0" applyFill="1" applyBorder="1"/>
    <xf numFmtId="0" fontId="2" fillId="12" borderId="55" xfId="0" applyFont="1" applyFill="1" applyBorder="1" applyAlignment="1">
      <alignment horizontal="center"/>
    </xf>
    <xf numFmtId="0" fontId="2" fillId="12" borderId="56" xfId="0" applyFont="1" applyFill="1" applyBorder="1" applyAlignment="1">
      <alignment horizontal="center" wrapText="1"/>
    </xf>
    <xf numFmtId="0" fontId="2" fillId="12" borderId="31" xfId="0" applyFont="1" applyFill="1" applyBorder="1" applyAlignment="1">
      <alignment horizontal="center"/>
    </xf>
    <xf numFmtId="0" fontId="2" fillId="12" borderId="56" xfId="0" applyFont="1" applyFill="1" applyBorder="1" applyAlignment="1">
      <alignment horizontal="center"/>
    </xf>
    <xf numFmtId="44" fontId="0" fillId="2" borderId="0" xfId="0" applyNumberFormat="1" applyFill="1" applyBorder="1"/>
    <xf numFmtId="0" fontId="0" fillId="0" borderId="0" xfId="0" quotePrefix="1"/>
    <xf numFmtId="0" fontId="0" fillId="10" borderId="52" xfId="0" applyFill="1" applyBorder="1"/>
    <xf numFmtId="0" fontId="33" fillId="0" borderId="34" xfId="10" applyFont="1" applyFill="1" applyBorder="1" applyAlignment="1">
      <alignment horizontal="center"/>
    </xf>
    <xf numFmtId="0" fontId="33" fillId="3" borderId="34" xfId="10" applyFont="1" applyFill="1" applyBorder="1" applyAlignment="1">
      <alignment horizontal="center"/>
    </xf>
    <xf numFmtId="0" fontId="32" fillId="10" borderId="53" xfId="0" applyFont="1" applyFill="1" applyBorder="1" applyAlignment="1">
      <alignment horizontal="right"/>
    </xf>
    <xf numFmtId="0" fontId="35" fillId="10" borderId="11" xfId="0" applyFont="1" applyFill="1" applyBorder="1" applyAlignment="1">
      <alignment horizontal="left" wrapText="1"/>
    </xf>
    <xf numFmtId="0" fontId="27" fillId="10" borderId="0" xfId="0" applyFont="1" applyFill="1" applyBorder="1" applyAlignment="1">
      <alignment horizontal="right" wrapText="1"/>
    </xf>
    <xf numFmtId="44" fontId="2" fillId="11" borderId="57" xfId="1" applyFont="1" applyFill="1" applyBorder="1"/>
    <xf numFmtId="0" fontId="0" fillId="10" borderId="15" xfId="0" applyFill="1" applyBorder="1" applyAlignment="1">
      <alignment horizontal="right"/>
    </xf>
    <xf numFmtId="0" fontId="37" fillId="10" borderId="0" xfId="0" applyFont="1" applyFill="1" applyBorder="1" applyAlignment="1">
      <alignment horizontal="right" vertical="top"/>
    </xf>
    <xf numFmtId="0" fontId="38" fillId="10" borderId="42" xfId="0" applyFont="1" applyFill="1" applyBorder="1" applyAlignment="1">
      <alignment horizontal="right"/>
    </xf>
    <xf numFmtId="0" fontId="22" fillId="2" borderId="24" xfId="0" applyFont="1" applyFill="1" applyBorder="1" applyAlignment="1" applyProtection="1">
      <alignment horizontal="center" wrapText="1"/>
      <protection locked="0"/>
    </xf>
    <xf numFmtId="169" fontId="0" fillId="2" borderId="9" xfId="1" applyNumberFormat="1" applyFont="1" applyFill="1" applyBorder="1" applyProtection="1">
      <protection locked="0"/>
    </xf>
    <xf numFmtId="164" fontId="0" fillId="2" borderId="16" xfId="0" applyNumberFormat="1" applyFill="1" applyBorder="1" applyProtection="1">
      <protection locked="0"/>
    </xf>
    <xf numFmtId="44" fontId="0" fillId="2" borderId="51" xfId="1" applyFont="1" applyFill="1" applyBorder="1" applyProtection="1">
      <protection locked="0"/>
    </xf>
    <xf numFmtId="164" fontId="0" fillId="2" borderId="2" xfId="0" applyNumberFormat="1" applyFill="1" applyBorder="1" applyProtection="1">
      <protection locked="0"/>
    </xf>
    <xf numFmtId="164" fontId="0" fillId="2" borderId="15" xfId="0" applyNumberFormat="1" applyFill="1" applyBorder="1" applyProtection="1">
      <protection locked="0"/>
    </xf>
    <xf numFmtId="44" fontId="0" fillId="2" borderId="49" xfId="1" applyFont="1" applyFill="1" applyBorder="1" applyProtection="1">
      <protection locked="0"/>
    </xf>
    <xf numFmtId="165" fontId="0" fillId="2" borderId="2" xfId="0" applyNumberFormat="1" applyFill="1" applyBorder="1" applyProtection="1">
      <protection locked="0"/>
    </xf>
    <xf numFmtId="0" fontId="0" fillId="2" borderId="2" xfId="0" applyFill="1" applyBorder="1" applyProtection="1">
      <protection locked="0"/>
    </xf>
    <xf numFmtId="44" fontId="0" fillId="2" borderId="2" xfId="1" applyFont="1" applyFill="1" applyBorder="1" applyProtection="1">
      <protection locked="0"/>
    </xf>
    <xf numFmtId="9" fontId="0" fillId="2" borderId="2" xfId="0" applyNumberFormat="1" applyFill="1" applyBorder="1" applyProtection="1">
      <protection locked="0"/>
    </xf>
    <xf numFmtId="44" fontId="0" fillId="2" borderId="50" xfId="1" applyFont="1" applyFill="1" applyBorder="1" applyProtection="1">
      <protection locked="0"/>
    </xf>
    <xf numFmtId="9" fontId="0" fillId="2" borderId="2" xfId="2" applyFont="1" applyFill="1" applyBorder="1" applyProtection="1">
      <protection locked="0"/>
    </xf>
    <xf numFmtId="0" fontId="22" fillId="2" borderId="2" xfId="0" applyFont="1" applyFill="1" applyBorder="1" applyAlignment="1" applyProtection="1">
      <alignment horizontal="center" wrapText="1"/>
      <protection locked="0"/>
    </xf>
    <xf numFmtId="0" fontId="0" fillId="2" borderId="2" xfId="0" applyFill="1" applyBorder="1" applyAlignment="1" applyProtection="1">
      <alignment horizontal="center"/>
      <protection locked="0"/>
    </xf>
    <xf numFmtId="44" fontId="0" fillId="2" borderId="2" xfId="1" applyFont="1" applyFill="1" applyBorder="1" applyAlignment="1" applyProtection="1">
      <alignment horizontal="center"/>
      <protection locked="0"/>
    </xf>
    <xf numFmtId="0" fontId="0" fillId="2" borderId="27" xfId="0" applyFill="1" applyBorder="1" applyProtection="1">
      <protection locked="0"/>
    </xf>
    <xf numFmtId="0" fontId="0" fillId="2" borderId="28" xfId="0" applyFill="1" applyBorder="1" applyProtection="1">
      <protection locked="0"/>
    </xf>
    <xf numFmtId="44" fontId="2" fillId="11" borderId="25" xfId="1" applyFont="1" applyFill="1" applyBorder="1"/>
    <xf numFmtId="44" fontId="0" fillId="10" borderId="58" xfId="1" applyFont="1" applyFill="1" applyBorder="1"/>
    <xf numFmtId="44" fontId="0" fillId="10" borderId="37" xfId="1" applyNumberFormat="1" applyFont="1" applyFill="1" applyBorder="1"/>
    <xf numFmtId="44" fontId="0" fillId="10" borderId="58" xfId="0" applyNumberFormat="1" applyFill="1" applyBorder="1"/>
    <xf numFmtId="44" fontId="0" fillId="2" borderId="8" xfId="0" applyNumberFormat="1" applyFill="1" applyBorder="1" applyProtection="1">
      <protection locked="0"/>
    </xf>
    <xf numFmtId="0" fontId="39" fillId="10" borderId="0" xfId="0" applyFont="1" applyFill="1" applyBorder="1"/>
    <xf numFmtId="44" fontId="0" fillId="2" borderId="32" xfId="1" applyNumberFormat="1" applyFont="1" applyFill="1" applyBorder="1" applyProtection="1">
      <protection locked="0"/>
    </xf>
    <xf numFmtId="44" fontId="0" fillId="10" borderId="59" xfId="1" applyNumberFormat="1" applyFont="1" applyFill="1" applyBorder="1"/>
    <xf numFmtId="44" fontId="0" fillId="10" borderId="44" xfId="1" applyNumberFormat="1" applyFont="1" applyFill="1" applyBorder="1"/>
    <xf numFmtId="44" fontId="0" fillId="10" borderId="59" xfId="1" applyFont="1" applyFill="1" applyBorder="1"/>
    <xf numFmtId="44" fontId="0" fillId="10" borderId="59" xfId="0" applyNumberFormat="1" applyFill="1" applyBorder="1"/>
    <xf numFmtId="0" fontId="0" fillId="10" borderId="59" xfId="0" applyFill="1" applyBorder="1"/>
    <xf numFmtId="44" fontId="30" fillId="3" borderId="59" xfId="1" applyFont="1" applyFill="1" applyBorder="1" applyAlignment="1">
      <alignment horizontal="center"/>
    </xf>
    <xf numFmtId="0" fontId="0" fillId="3" borderId="59" xfId="0" applyFill="1" applyBorder="1"/>
    <xf numFmtId="44" fontId="0" fillId="2" borderId="9" xfId="1" applyFont="1" applyFill="1" applyBorder="1" applyAlignment="1" applyProtection="1">
      <alignment horizontal="center"/>
      <protection locked="0"/>
    </xf>
    <xf numFmtId="0" fontId="46" fillId="10" borderId="0" xfId="0" applyFont="1" applyFill="1" applyBorder="1" applyAlignment="1">
      <alignment horizontal="right" vertical="top"/>
    </xf>
    <xf numFmtId="0" fontId="13" fillId="0" borderId="0" xfId="0" applyFont="1" applyFill="1" applyBorder="1"/>
    <xf numFmtId="0" fontId="3" fillId="5" borderId="0" xfId="3" applyFont="1" applyFill="1" applyBorder="1"/>
    <xf numFmtId="0" fontId="11" fillId="5" borderId="0" xfId="3" applyFont="1" applyFill="1" applyBorder="1" applyAlignment="1">
      <alignment horizontal="left"/>
    </xf>
    <xf numFmtId="0" fontId="12" fillId="5" borderId="0" xfId="3" applyFont="1" applyFill="1" applyBorder="1" applyAlignment="1">
      <alignment horizontal="center"/>
    </xf>
    <xf numFmtId="0" fontId="3" fillId="5" borderId="0" xfId="3" applyFont="1" applyFill="1" applyBorder="1" applyAlignment="1">
      <alignment horizontal="right"/>
    </xf>
    <xf numFmtId="0" fontId="13" fillId="5" borderId="0" xfId="3" applyFont="1" applyFill="1" applyBorder="1" applyAlignment="1">
      <alignment horizontal="left"/>
    </xf>
    <xf numFmtId="0" fontId="13" fillId="5" borderId="0" xfId="3" applyFont="1" applyFill="1" applyBorder="1" applyAlignment="1">
      <alignment vertical="center"/>
    </xf>
    <xf numFmtId="0" fontId="3" fillId="5" borderId="0" xfId="3" applyFont="1" applyFill="1" applyBorder="1" applyAlignment="1"/>
    <xf numFmtId="0" fontId="13" fillId="5" borderId="0" xfId="3" applyFont="1" applyFill="1" applyBorder="1" applyAlignment="1"/>
    <xf numFmtId="0" fontId="6" fillId="5" borderId="0" xfId="3" applyFill="1" applyBorder="1"/>
    <xf numFmtId="0" fontId="3" fillId="5" borderId="0" xfId="3" applyFont="1" applyFill="1" applyBorder="1" applyAlignment="1">
      <alignment horizontal="left"/>
    </xf>
    <xf numFmtId="5" fontId="3" fillId="5" borderId="0" xfId="3" applyNumberFormat="1" applyFont="1" applyFill="1" applyBorder="1" applyAlignment="1">
      <alignment horizontal="right"/>
    </xf>
    <xf numFmtId="6" fontId="3" fillId="5" borderId="0" xfId="4" applyNumberFormat="1" applyFont="1" applyFill="1" applyBorder="1" applyAlignment="1">
      <alignment horizontal="right"/>
    </xf>
    <xf numFmtId="5" fontId="3" fillId="5" borderId="0" xfId="3" applyNumberFormat="1" applyFont="1" applyFill="1" applyBorder="1"/>
    <xf numFmtId="5" fontId="3" fillId="5" borderId="0" xfId="3" quotePrefix="1" applyNumberFormat="1" applyFont="1" applyFill="1" applyBorder="1" applyAlignment="1">
      <alignment horizontal="right"/>
    </xf>
    <xf numFmtId="0" fontId="13" fillId="5" borderId="0" xfId="3" applyFont="1" applyFill="1" applyBorder="1" applyAlignment="1">
      <alignment horizontal="center"/>
    </xf>
    <xf numFmtId="0" fontId="13" fillId="5" borderId="0" xfId="3" applyFont="1" applyFill="1" applyBorder="1" applyAlignment="1">
      <alignment horizontal="right"/>
    </xf>
    <xf numFmtId="5" fontId="3" fillId="5" borderId="0" xfId="3" applyNumberFormat="1" applyFont="1" applyFill="1" applyBorder="1" applyAlignment="1">
      <alignment horizontal="center"/>
    </xf>
    <xf numFmtId="9" fontId="3" fillId="5" borderId="0" xfId="3" applyNumberFormat="1" applyFont="1" applyFill="1" applyBorder="1" applyAlignment="1">
      <alignment horizontal="left"/>
    </xf>
    <xf numFmtId="9" fontId="3" fillId="5" borderId="0" xfId="3" applyNumberFormat="1" applyFont="1" applyFill="1" applyBorder="1" applyAlignment="1">
      <alignment horizontal="center"/>
    </xf>
    <xf numFmtId="8" fontId="3" fillId="5" borderId="0" xfId="4" applyFont="1" applyFill="1" applyBorder="1" applyAlignment="1">
      <alignment horizontal="right"/>
    </xf>
    <xf numFmtId="7" fontId="3" fillId="5" borderId="0" xfId="3" applyNumberFormat="1" applyFont="1" applyFill="1" applyBorder="1"/>
    <xf numFmtId="5" fontId="3" fillId="5" borderId="0" xfId="3" applyNumberFormat="1" applyFont="1" applyFill="1" applyBorder="1" applyAlignment="1">
      <alignment horizontal="left"/>
    </xf>
    <xf numFmtId="0" fontId="13" fillId="5" borderId="0" xfId="3" quotePrefix="1" applyFont="1" applyFill="1" applyBorder="1" applyAlignment="1"/>
    <xf numFmtId="0" fontId="3" fillId="5" borderId="0" xfId="3" applyFont="1" applyFill="1" applyBorder="1" applyAlignment="1">
      <alignment horizontal="center"/>
    </xf>
    <xf numFmtId="8" fontId="13" fillId="5" borderId="0" xfId="3" applyNumberFormat="1" applyFont="1" applyFill="1" applyBorder="1" applyAlignment="1">
      <alignment horizontal="center"/>
    </xf>
    <xf numFmtId="173" fontId="3" fillId="5" borderId="0" xfId="3" applyNumberFormat="1" applyFont="1" applyFill="1" applyBorder="1"/>
    <xf numFmtId="5" fontId="3" fillId="5" borderId="0" xfId="3" quotePrefix="1" applyNumberFormat="1" applyFont="1" applyFill="1" applyBorder="1" applyAlignment="1">
      <alignment horizontal="left"/>
    </xf>
    <xf numFmtId="5" fontId="14" fillId="5" borderId="0" xfId="3" quotePrefix="1" applyNumberFormat="1" applyFont="1" applyFill="1" applyBorder="1" applyAlignment="1">
      <alignment horizontal="left"/>
    </xf>
    <xf numFmtId="0" fontId="14" fillId="5" borderId="0" xfId="3" applyFont="1" applyFill="1" applyBorder="1"/>
    <xf numFmtId="5" fontId="14" fillId="5" borderId="0" xfId="3" applyNumberFormat="1" applyFont="1" applyFill="1" applyBorder="1" applyAlignment="1">
      <alignment horizontal="left"/>
    </xf>
    <xf numFmtId="0" fontId="35" fillId="10" borderId="42" xfId="0" applyFont="1" applyFill="1" applyBorder="1"/>
    <xf numFmtId="0" fontId="35" fillId="10" borderId="46" xfId="0" applyFont="1" applyFill="1" applyBorder="1"/>
    <xf numFmtId="0" fontId="33" fillId="13" borderId="34" xfId="10" applyFont="1" applyFill="1" applyBorder="1" applyAlignment="1">
      <alignment horizontal="center"/>
    </xf>
    <xf numFmtId="0" fontId="33" fillId="2" borderId="34" xfId="10" applyFont="1" applyFill="1" applyBorder="1" applyAlignment="1" applyProtection="1">
      <alignment horizontal="center"/>
      <protection locked="0"/>
    </xf>
    <xf numFmtId="0" fontId="18" fillId="0" borderId="0" xfId="3" applyFont="1" applyFill="1" applyBorder="1" applyAlignment="1">
      <alignment horizontal="center"/>
    </xf>
    <xf numFmtId="168" fontId="3" fillId="0" borderId="0" xfId="3" applyNumberFormat="1" applyFont="1" applyFill="1" applyBorder="1" applyAlignment="1">
      <alignment horizontal="left"/>
    </xf>
    <xf numFmtId="0" fontId="4" fillId="10" borderId="60" xfId="0" applyFont="1" applyFill="1" applyBorder="1" applyAlignment="1">
      <alignment horizontal="right"/>
    </xf>
    <xf numFmtId="0" fontId="3" fillId="10" borderId="60" xfId="0" applyFont="1" applyFill="1" applyBorder="1"/>
    <xf numFmtId="0" fontId="3" fillId="10" borderId="60" xfId="0" applyFont="1" applyFill="1" applyBorder="1" applyAlignment="1">
      <alignment horizontal="center"/>
    </xf>
    <xf numFmtId="0" fontId="3" fillId="10" borderId="60" xfId="0" applyFont="1" applyFill="1" applyBorder="1" applyAlignment="1">
      <alignment horizontal="right"/>
    </xf>
    <xf numFmtId="0" fontId="3" fillId="0" borderId="0" xfId="0" applyFont="1" applyBorder="1"/>
    <xf numFmtId="0" fontId="47" fillId="0" borderId="0" xfId="0" applyFont="1" applyBorder="1"/>
    <xf numFmtId="0" fontId="3" fillId="0" borderId="61" xfId="0" applyFont="1" applyBorder="1"/>
    <xf numFmtId="0" fontId="3" fillId="0" borderId="0" xfId="0" applyFont="1" applyFill="1" applyBorder="1" applyAlignment="1">
      <alignment horizontal="right"/>
    </xf>
    <xf numFmtId="0" fontId="10" fillId="0" borderId="0" xfId="3" applyFont="1" applyFill="1" applyBorder="1" applyAlignment="1">
      <alignment horizontal="left"/>
    </xf>
    <xf numFmtId="10" fontId="0" fillId="10" borderId="2" xfId="2" applyNumberFormat="1" applyFont="1" applyFill="1" applyBorder="1" applyAlignment="1">
      <alignment horizontal="right"/>
    </xf>
    <xf numFmtId="0" fontId="3" fillId="0" borderId="0" xfId="3" applyFont="1" applyFill="1" applyBorder="1" applyAlignment="1">
      <alignment horizontal="center"/>
    </xf>
    <xf numFmtId="2" fontId="0" fillId="10" borderId="21" xfId="0" applyNumberFormat="1" applyFill="1" applyBorder="1" applyAlignment="1">
      <alignment horizontal="right"/>
    </xf>
    <xf numFmtId="2" fontId="0" fillId="10" borderId="23" xfId="0" applyNumberFormat="1" applyFill="1" applyBorder="1" applyAlignment="1">
      <alignment horizontal="right"/>
    </xf>
    <xf numFmtId="8" fontId="19" fillId="10" borderId="0" xfId="6" applyNumberFormat="1" applyFill="1" applyBorder="1" applyAlignment="1" applyProtection="1">
      <alignment horizontal="center"/>
    </xf>
    <xf numFmtId="168" fontId="3" fillId="10" borderId="0" xfId="0" quotePrefix="1" applyNumberFormat="1" applyFont="1" applyFill="1" applyBorder="1" applyAlignment="1">
      <alignment horizontal="left"/>
    </xf>
    <xf numFmtId="5" fontId="19" fillId="10" borderId="0" xfId="6" applyNumberFormat="1" applyFill="1" applyBorder="1" applyAlignment="1" applyProtection="1"/>
    <xf numFmtId="0" fontId="49" fillId="0" borderId="0" xfId="0" applyFont="1" applyBorder="1"/>
    <xf numFmtId="0" fontId="50" fillId="0" borderId="0" xfId="0" applyFont="1" applyBorder="1"/>
    <xf numFmtId="0" fontId="40" fillId="0" borderId="0" xfId="0" applyFont="1" applyBorder="1"/>
    <xf numFmtId="0" fontId="40" fillId="0" borderId="0" xfId="0" applyFont="1" applyBorder="1" applyAlignment="1">
      <alignment horizontal="right"/>
    </xf>
    <xf numFmtId="0" fontId="40" fillId="0" borderId="0" xfId="0" applyFont="1" applyBorder="1" applyAlignment="1">
      <alignment horizontal="center"/>
    </xf>
    <xf numFmtId="49" fontId="51" fillId="0" borderId="0" xfId="0" applyNumberFormat="1" applyFont="1" applyBorder="1" applyAlignment="1">
      <alignment horizontal="left"/>
    </xf>
    <xf numFmtId="49" fontId="0" fillId="0" borderId="0" xfId="0" applyNumberFormat="1" applyBorder="1" applyAlignment="1">
      <alignment horizontal="left"/>
    </xf>
    <xf numFmtId="49" fontId="52" fillId="0" borderId="0" xfId="0" applyNumberFormat="1" applyFont="1" applyBorder="1" applyAlignment="1">
      <alignment horizontal="right"/>
    </xf>
    <xf numFmtId="0" fontId="43" fillId="0" borderId="0" xfId="0" applyFont="1" applyBorder="1"/>
    <xf numFmtId="0" fontId="42" fillId="0" borderId="0" xfId="0" applyFont="1" applyBorder="1"/>
    <xf numFmtId="0" fontId="42" fillId="0" borderId="7" xfId="0" applyFont="1" applyBorder="1"/>
    <xf numFmtId="0" fontId="42" fillId="0" borderId="62" xfId="0" applyFont="1" applyBorder="1"/>
    <xf numFmtId="0" fontId="42" fillId="0" borderId="28" xfId="0" applyFont="1" applyBorder="1" applyAlignment="1">
      <alignment horizontal="center"/>
    </xf>
    <xf numFmtId="0" fontId="42" fillId="0" borderId="29" xfId="0" applyFont="1" applyBorder="1" applyAlignment="1">
      <alignment horizontal="center"/>
    </xf>
    <xf numFmtId="0" fontId="42" fillId="0" borderId="30" xfId="0" applyFont="1" applyBorder="1" applyAlignment="1">
      <alignment horizontal="center"/>
    </xf>
    <xf numFmtId="0" fontId="42" fillId="0" borderId="7" xfId="0" applyFont="1" applyBorder="1" applyAlignment="1">
      <alignment horizontal="center"/>
    </xf>
    <xf numFmtId="0" fontId="42" fillId="0" borderId="0" xfId="0" applyFont="1" applyBorder="1" applyAlignment="1"/>
    <xf numFmtId="0" fontId="49" fillId="0" borderId="18" xfId="0" applyFont="1" applyBorder="1" applyAlignment="1">
      <alignment horizontal="left" textRotation="90"/>
    </xf>
    <xf numFmtId="0" fontId="3" fillId="0" borderId="64" xfId="0" applyFont="1" applyFill="1" applyBorder="1"/>
    <xf numFmtId="0" fontId="40" fillId="0" borderId="65" xfId="0" applyFont="1" applyBorder="1" applyAlignment="1">
      <alignment horizontal="right"/>
    </xf>
    <xf numFmtId="10" fontId="40" fillId="0" borderId="66" xfId="0" applyNumberFormat="1" applyFont="1" applyBorder="1" applyAlignment="1">
      <alignment horizontal="right"/>
    </xf>
    <xf numFmtId="0" fontId="40" fillId="0" borderId="67" xfId="0" applyFont="1" applyBorder="1" applyAlignment="1">
      <alignment horizontal="right"/>
    </xf>
    <xf numFmtId="0" fontId="40" fillId="14" borderId="18" xfId="0" applyFont="1" applyFill="1" applyBorder="1" applyAlignment="1">
      <alignment horizontal="center"/>
    </xf>
    <xf numFmtId="10" fontId="40" fillId="0" borderId="66" xfId="2" applyNumberFormat="1" applyFont="1" applyBorder="1" applyAlignment="1">
      <alignment horizontal="right"/>
    </xf>
    <xf numFmtId="0" fontId="40" fillId="14" borderId="68" xfId="0" applyFont="1" applyFill="1" applyBorder="1" applyAlignment="1">
      <alignment horizontal="right"/>
    </xf>
    <xf numFmtId="10" fontId="40" fillId="14" borderId="69" xfId="0" applyNumberFormat="1" applyFont="1" applyFill="1" applyBorder="1"/>
    <xf numFmtId="0" fontId="40" fillId="0" borderId="67" xfId="0" applyFont="1" applyFill="1" applyBorder="1" applyAlignment="1">
      <alignment horizontal="right"/>
    </xf>
    <xf numFmtId="10" fontId="40" fillId="0" borderId="66" xfId="2" applyNumberFormat="1" applyFont="1" applyFill="1" applyBorder="1" applyAlignment="1">
      <alignment horizontal="right"/>
    </xf>
    <xf numFmtId="10" fontId="40" fillId="14" borderId="68" xfId="0" applyNumberFormat="1" applyFont="1" applyFill="1" applyBorder="1"/>
    <xf numFmtId="10" fontId="40" fillId="14" borderId="19" xfId="0" applyNumberFormat="1" applyFont="1" applyFill="1" applyBorder="1"/>
    <xf numFmtId="0" fontId="40" fillId="0" borderId="65" xfId="0" applyFont="1" applyBorder="1"/>
    <xf numFmtId="10" fontId="40" fillId="0" borderId="70" xfId="2" applyNumberFormat="1" applyFont="1" applyBorder="1" applyAlignment="1">
      <alignment horizontal="right"/>
    </xf>
    <xf numFmtId="0" fontId="40" fillId="14" borderId="17" xfId="0" applyFont="1" applyFill="1" applyBorder="1"/>
    <xf numFmtId="0" fontId="40" fillId="14" borderId="18" xfId="0" applyFont="1" applyFill="1" applyBorder="1"/>
    <xf numFmtId="0" fontId="40" fillId="14" borderId="69" xfId="0" applyFont="1" applyFill="1" applyBorder="1" applyAlignment="1">
      <alignment horizontal="right"/>
    </xf>
    <xf numFmtId="0" fontId="40" fillId="14" borderId="18" xfId="0" applyFont="1" applyFill="1" applyBorder="1" applyAlignment="1">
      <alignment horizontal="right"/>
    </xf>
    <xf numFmtId="0" fontId="40" fillId="14" borderId="19" xfId="0" applyFont="1" applyFill="1" applyBorder="1"/>
    <xf numFmtId="0" fontId="49" fillId="0" borderId="3" xfId="0" applyFont="1" applyBorder="1" applyAlignment="1">
      <alignment horizontal="left" textRotation="90"/>
    </xf>
    <xf numFmtId="0" fontId="40" fillId="0" borderId="71" xfId="0" applyFont="1" applyBorder="1"/>
    <xf numFmtId="0" fontId="3" fillId="0" borderId="72" xfId="0" applyFont="1" applyFill="1" applyBorder="1"/>
    <xf numFmtId="0" fontId="40" fillId="0" borderId="73" xfId="0" applyFont="1" applyBorder="1" applyAlignment="1">
      <alignment horizontal="right"/>
    </xf>
    <xf numFmtId="10" fontId="40" fillId="0" borderId="74" xfId="0" applyNumberFormat="1" applyFont="1" applyBorder="1" applyAlignment="1">
      <alignment horizontal="right"/>
    </xf>
    <xf numFmtId="0" fontId="40" fillId="0" borderId="75" xfId="0" applyFont="1" applyBorder="1" applyAlignment="1">
      <alignment horizontal="right"/>
    </xf>
    <xf numFmtId="0" fontId="40" fillId="14" borderId="3" xfId="0" applyFont="1" applyFill="1" applyBorder="1" applyAlignment="1">
      <alignment horizontal="center"/>
    </xf>
    <xf numFmtId="10" fontId="40" fillId="0" borderId="74" xfId="2" applyNumberFormat="1" applyFont="1" applyBorder="1" applyAlignment="1">
      <alignment horizontal="right"/>
    </xf>
    <xf numFmtId="0" fontId="40" fillId="0" borderId="76" xfId="0" applyNumberFormat="1" applyFont="1" applyBorder="1" applyAlignment="1">
      <alignment horizontal="right"/>
    </xf>
    <xf numFmtId="10" fontId="40" fillId="0" borderId="77" xfId="0" applyNumberFormat="1" applyFont="1" applyBorder="1" applyAlignment="1">
      <alignment horizontal="right"/>
    </xf>
    <xf numFmtId="0" fontId="40" fillId="0" borderId="75" xfId="0" applyFont="1" applyFill="1" applyBorder="1" applyAlignment="1">
      <alignment horizontal="right"/>
    </xf>
    <xf numFmtId="10" fontId="40" fillId="0" borderId="74" xfId="2" applyNumberFormat="1" applyFont="1" applyFill="1" applyBorder="1" applyAlignment="1">
      <alignment horizontal="right"/>
    </xf>
    <xf numFmtId="10" fontId="40" fillId="14" borderId="76" xfId="0" applyNumberFormat="1" applyFont="1" applyFill="1" applyBorder="1" applyAlignment="1">
      <alignment horizontal="right"/>
    </xf>
    <xf numFmtId="10" fontId="40" fillId="14" borderId="23" xfId="0" applyNumberFormat="1" applyFont="1" applyFill="1" applyBorder="1" applyAlignment="1">
      <alignment horizontal="right"/>
    </xf>
    <xf numFmtId="0" fontId="40" fillId="14" borderId="78" xfId="0" applyFont="1" applyFill="1" applyBorder="1" applyAlignment="1">
      <alignment horizontal="center"/>
    </xf>
    <xf numFmtId="10" fontId="40" fillId="14" borderId="79" xfId="2" applyNumberFormat="1" applyFont="1" applyFill="1" applyBorder="1" applyAlignment="1">
      <alignment horizontal="center"/>
    </xf>
    <xf numFmtId="0" fontId="40" fillId="14" borderId="22" xfId="0" applyFont="1" applyFill="1" applyBorder="1"/>
    <xf numFmtId="0" fontId="40" fillId="14" borderId="3" xfId="0" applyFont="1" applyFill="1" applyBorder="1"/>
    <xf numFmtId="0" fontId="40" fillId="14" borderId="77" xfId="0" applyFont="1" applyFill="1" applyBorder="1" applyAlignment="1">
      <alignment horizontal="right"/>
    </xf>
    <xf numFmtId="0" fontId="40" fillId="14" borderId="3" xfId="0" applyFont="1" applyFill="1" applyBorder="1" applyAlignment="1">
      <alignment horizontal="right"/>
    </xf>
    <xf numFmtId="0" fontId="40" fillId="14" borderId="23" xfId="0" applyFont="1" applyFill="1" applyBorder="1"/>
    <xf numFmtId="0" fontId="49" fillId="0" borderId="18" xfId="0" applyFont="1" applyBorder="1" applyAlignment="1">
      <alignment horizontal="left" vertical="center" textRotation="90"/>
    </xf>
    <xf numFmtId="10" fontId="40" fillId="14" borderId="68" xfId="0" applyNumberFormat="1" applyFont="1" applyFill="1" applyBorder="1" applyAlignment="1">
      <alignment horizontal="right"/>
    </xf>
    <xf numFmtId="10" fontId="40" fillId="14" borderId="69" xfId="0" applyNumberFormat="1" applyFont="1" applyFill="1" applyBorder="1" applyAlignment="1">
      <alignment horizontal="right"/>
    </xf>
    <xf numFmtId="0" fontId="40" fillId="14" borderId="69" xfId="0" applyFont="1" applyFill="1" applyBorder="1"/>
    <xf numFmtId="0" fontId="40" fillId="0" borderId="67" xfId="0" applyFont="1" applyFill="1" applyBorder="1"/>
    <xf numFmtId="10" fontId="40" fillId="0" borderId="66" xfId="0" applyNumberFormat="1" applyFont="1" applyFill="1" applyBorder="1" applyAlignment="1">
      <alignment horizontal="right"/>
    </xf>
    <xf numFmtId="10" fontId="40" fillId="14" borderId="19" xfId="0" applyNumberFormat="1" applyFont="1" applyFill="1" applyBorder="1" applyAlignment="1">
      <alignment horizontal="right"/>
    </xf>
    <xf numFmtId="0" fontId="40" fillId="0" borderId="80" xfId="0" applyFont="1" applyFill="1" applyBorder="1" applyAlignment="1">
      <alignment horizontal="right"/>
    </xf>
    <xf numFmtId="0" fontId="40" fillId="0" borderId="63" xfId="0" applyFont="1" applyBorder="1"/>
    <xf numFmtId="0" fontId="49" fillId="0" borderId="0" xfId="0" applyFont="1" applyBorder="1" applyAlignment="1">
      <alignment horizontal="left" vertical="center" textRotation="90"/>
    </xf>
    <xf numFmtId="0" fontId="3" fillId="0" borderId="82" xfId="0" applyFont="1" applyFill="1" applyBorder="1"/>
    <xf numFmtId="0" fontId="40" fillId="0" borderId="83" xfId="0" applyFont="1" applyBorder="1" applyAlignment="1">
      <alignment horizontal="right"/>
    </xf>
    <xf numFmtId="10" fontId="40" fillId="0" borderId="84" xfId="0" applyNumberFormat="1" applyFont="1" applyBorder="1" applyAlignment="1">
      <alignment horizontal="right"/>
    </xf>
    <xf numFmtId="10" fontId="40" fillId="14" borderId="12" xfId="0" applyNumberFormat="1" applyFont="1" applyFill="1" applyBorder="1" applyAlignment="1">
      <alignment horizontal="right"/>
    </xf>
    <xf numFmtId="10" fontId="40" fillId="14" borderId="52" xfId="0" applyNumberFormat="1" applyFont="1" applyFill="1" applyBorder="1" applyAlignment="1">
      <alignment horizontal="right"/>
    </xf>
    <xf numFmtId="0" fontId="40" fillId="14" borderId="0" xfId="0" applyFont="1" applyFill="1" applyBorder="1" applyAlignment="1">
      <alignment horizontal="center"/>
    </xf>
    <xf numFmtId="0" fontId="40" fillId="0" borderId="85" xfId="0" applyFont="1" applyBorder="1" applyAlignment="1">
      <alignment horizontal="right"/>
    </xf>
    <xf numFmtId="10" fontId="40" fillId="0" borderId="84" xfId="2" applyNumberFormat="1" applyFont="1" applyBorder="1" applyAlignment="1">
      <alignment horizontal="right"/>
    </xf>
    <xf numFmtId="0" fontId="40" fillId="14" borderId="12" xfId="0" applyFont="1" applyFill="1" applyBorder="1" applyAlignment="1">
      <alignment horizontal="right"/>
    </xf>
    <xf numFmtId="0" fontId="40" fillId="14" borderId="52" xfId="0" applyFont="1" applyFill="1" applyBorder="1"/>
    <xf numFmtId="0" fontId="40" fillId="0" borderId="85" xfId="0" applyFont="1" applyFill="1" applyBorder="1"/>
    <xf numFmtId="10" fontId="40" fillId="0" borderId="84" xfId="0" applyNumberFormat="1" applyFont="1" applyFill="1" applyBorder="1" applyAlignment="1">
      <alignment horizontal="right"/>
    </xf>
    <xf numFmtId="10" fontId="40" fillId="14" borderId="21" xfId="0" applyNumberFormat="1" applyFont="1" applyFill="1" applyBorder="1" applyAlignment="1">
      <alignment horizontal="right"/>
    </xf>
    <xf numFmtId="0" fontId="40" fillId="0" borderId="83" xfId="0" applyFont="1" applyBorder="1"/>
    <xf numFmtId="10" fontId="40" fillId="0" borderId="86" xfId="2" applyNumberFormat="1" applyFont="1" applyBorder="1" applyAlignment="1">
      <alignment horizontal="right"/>
    </xf>
    <xf numFmtId="0" fontId="40" fillId="0" borderId="87" xfId="0" applyFont="1" applyFill="1" applyBorder="1" applyAlignment="1">
      <alignment horizontal="right"/>
    </xf>
    <xf numFmtId="0" fontId="40" fillId="0" borderId="81" xfId="0" applyFont="1" applyBorder="1"/>
    <xf numFmtId="0" fontId="40" fillId="14" borderId="0" xfId="0" applyFont="1" applyFill="1" applyBorder="1"/>
    <xf numFmtId="0" fontId="40" fillId="14" borderId="21" xfId="0" applyFont="1" applyFill="1" applyBorder="1"/>
    <xf numFmtId="0" fontId="40" fillId="0" borderId="85" xfId="0" applyFont="1" applyFill="1" applyBorder="1" applyAlignment="1">
      <alignment horizontal="right"/>
    </xf>
    <xf numFmtId="0" fontId="49" fillId="0" borderId="3" xfId="0" applyFont="1" applyBorder="1" applyAlignment="1">
      <alignment horizontal="left" vertical="center" textRotation="90"/>
    </xf>
    <xf numFmtId="10" fontId="40" fillId="14" borderId="77" xfId="0" applyNumberFormat="1" applyFont="1" applyFill="1" applyBorder="1" applyAlignment="1">
      <alignment horizontal="right"/>
    </xf>
    <xf numFmtId="0" fontId="40" fillId="14" borderId="76" xfId="0" applyFont="1" applyFill="1" applyBorder="1" applyAlignment="1">
      <alignment horizontal="right"/>
    </xf>
    <xf numFmtId="0" fontId="40" fillId="14" borderId="77" xfId="0" applyFont="1" applyFill="1" applyBorder="1"/>
    <xf numFmtId="0" fontId="40" fillId="0" borderId="75" xfId="0" applyFont="1" applyFill="1" applyBorder="1"/>
    <xf numFmtId="10" fontId="40" fillId="0" borderId="74" xfId="0" applyNumberFormat="1" applyFont="1" applyFill="1" applyBorder="1" applyAlignment="1">
      <alignment horizontal="right"/>
    </xf>
    <xf numFmtId="0" fontId="40" fillId="15" borderId="73" xfId="0" applyFont="1" applyFill="1" applyBorder="1"/>
    <xf numFmtId="10" fontId="40" fillId="15" borderId="88" xfId="2" applyNumberFormat="1" applyFont="1" applyFill="1" applyBorder="1" applyAlignment="1">
      <alignment horizontal="right"/>
    </xf>
    <xf numFmtId="0" fontId="40" fillId="0" borderId="73" xfId="0" applyFont="1" applyBorder="1"/>
    <xf numFmtId="0" fontId="40" fillId="0" borderId="89" xfId="0" applyFont="1" applyFill="1" applyBorder="1" applyAlignment="1">
      <alignment horizontal="right"/>
    </xf>
    <xf numFmtId="0" fontId="40" fillId="0" borderId="90" xfId="0" applyFont="1" applyBorder="1" applyAlignment="1">
      <alignment horizontal="right"/>
    </xf>
    <xf numFmtId="10" fontId="40" fillId="0" borderId="91" xfId="0" applyNumberFormat="1" applyFont="1" applyBorder="1" applyAlignment="1">
      <alignment horizontal="right"/>
    </xf>
    <xf numFmtId="10" fontId="40" fillId="0" borderId="91" xfId="2" applyNumberFormat="1" applyFont="1" applyBorder="1" applyAlignment="1">
      <alignment horizontal="right"/>
    </xf>
    <xf numFmtId="0" fontId="40" fillId="0" borderId="90" xfId="0" applyFont="1" applyFill="1" applyBorder="1"/>
    <xf numFmtId="10" fontId="40" fillId="0" borderId="91" xfId="0" applyNumberFormat="1" applyFont="1" applyFill="1" applyBorder="1" applyAlignment="1">
      <alignment horizontal="right"/>
    </xf>
    <xf numFmtId="0" fontId="3" fillId="15" borderId="82" xfId="0" applyFont="1" applyFill="1" applyBorder="1"/>
    <xf numFmtId="0" fontId="40" fillId="15" borderId="85" xfId="0" applyFont="1" applyFill="1" applyBorder="1" applyAlignment="1">
      <alignment horizontal="right"/>
    </xf>
    <xf numFmtId="10" fontId="40" fillId="15" borderId="84" xfId="0" applyNumberFormat="1" applyFont="1" applyFill="1" applyBorder="1" applyAlignment="1">
      <alignment horizontal="right"/>
    </xf>
    <xf numFmtId="10" fontId="40" fillId="15" borderId="84" xfId="2" applyNumberFormat="1" applyFont="1" applyFill="1" applyBorder="1" applyAlignment="1">
      <alignment horizontal="right"/>
    </xf>
    <xf numFmtId="0" fontId="40" fillId="0" borderId="0" xfId="0" applyFont="1" applyFill="1" applyBorder="1"/>
    <xf numFmtId="0" fontId="40" fillId="14" borderId="20" xfId="0" applyFont="1" applyFill="1" applyBorder="1"/>
    <xf numFmtId="0" fontId="40" fillId="14" borderId="52" xfId="0" applyFont="1" applyFill="1" applyBorder="1" applyAlignment="1">
      <alignment horizontal="right"/>
    </xf>
    <xf numFmtId="0" fontId="40" fillId="14" borderId="0" xfId="0" applyFont="1" applyFill="1" applyBorder="1" applyAlignment="1">
      <alignment horizontal="right"/>
    </xf>
    <xf numFmtId="10" fontId="40" fillId="0" borderId="88" xfId="2" applyNumberFormat="1" applyFont="1" applyBorder="1" applyAlignment="1">
      <alignment horizontal="right"/>
    </xf>
    <xf numFmtId="0" fontId="49" fillId="0" borderId="18" xfId="0" applyFont="1" applyBorder="1" applyAlignment="1">
      <alignment horizontal="center" vertical="center" textRotation="90" wrapText="1"/>
    </xf>
    <xf numFmtId="0" fontId="3" fillId="0" borderId="67" xfId="0" applyFont="1" applyFill="1" applyBorder="1" applyAlignment="1">
      <alignment horizontal="right"/>
    </xf>
    <xf numFmtId="10" fontId="40" fillId="14" borderId="18" xfId="2" applyNumberFormat="1" applyFont="1" applyFill="1" applyBorder="1" applyAlignment="1">
      <alignment horizontal="right"/>
    </xf>
    <xf numFmtId="10" fontId="40" fillId="14" borderId="68" xfId="2" applyNumberFormat="1" applyFont="1" applyFill="1" applyBorder="1" applyAlignment="1">
      <alignment horizontal="right"/>
    </xf>
    <xf numFmtId="10" fontId="40" fillId="14" borderId="69" xfId="2" applyNumberFormat="1" applyFont="1" applyFill="1" applyBorder="1" applyAlignment="1">
      <alignment horizontal="right"/>
    </xf>
    <xf numFmtId="0" fontId="40" fillId="0" borderId="80" xfId="0" applyFont="1" applyBorder="1" applyAlignment="1">
      <alignment horizontal="right"/>
    </xf>
    <xf numFmtId="0" fontId="49" fillId="0" borderId="0" xfId="0" applyFont="1" applyBorder="1" applyAlignment="1">
      <alignment horizontal="center" vertical="center" textRotation="90" wrapText="1"/>
    </xf>
    <xf numFmtId="0" fontId="3" fillId="0" borderId="85" xfId="0" applyFont="1" applyFill="1" applyBorder="1" applyAlignment="1">
      <alignment horizontal="right"/>
    </xf>
    <xf numFmtId="10" fontId="40" fillId="14" borderId="0" xfId="2" applyNumberFormat="1" applyFont="1" applyFill="1" applyBorder="1" applyAlignment="1">
      <alignment horizontal="right"/>
    </xf>
    <xf numFmtId="10" fontId="40" fillId="14" borderId="12" xfId="2" applyNumberFormat="1" applyFont="1" applyFill="1" applyBorder="1" applyAlignment="1">
      <alignment horizontal="right"/>
    </xf>
    <xf numFmtId="10" fontId="40" fillId="14" borderId="52" xfId="2" applyNumberFormat="1" applyFont="1" applyFill="1" applyBorder="1" applyAlignment="1">
      <alignment horizontal="right"/>
    </xf>
    <xf numFmtId="0" fontId="40" fillId="0" borderId="87" xfId="0" applyFont="1" applyBorder="1" applyAlignment="1">
      <alignment horizontal="right"/>
    </xf>
    <xf numFmtId="0" fontId="3" fillId="16" borderId="93" xfId="0" applyFont="1" applyFill="1" applyBorder="1"/>
    <xf numFmtId="0" fontId="3" fillId="14" borderId="94" xfId="0" applyFont="1" applyFill="1" applyBorder="1" applyAlignment="1">
      <alignment horizontal="right"/>
    </xf>
    <xf numFmtId="10" fontId="40" fillId="14" borderId="95" xfId="2" applyNumberFormat="1" applyFont="1" applyFill="1" applyBorder="1" applyAlignment="1">
      <alignment horizontal="right"/>
    </xf>
    <xf numFmtId="0" fontId="3" fillId="14" borderId="12" xfId="0" applyFont="1" applyFill="1" applyBorder="1" applyAlignment="1">
      <alignment horizontal="right"/>
    </xf>
    <xf numFmtId="10" fontId="40" fillId="14" borderId="21" xfId="2" applyNumberFormat="1" applyFont="1" applyFill="1" applyBorder="1" applyAlignment="1">
      <alignment horizontal="right"/>
    </xf>
    <xf numFmtId="0" fontId="49" fillId="0" borderId="3" xfId="0" applyFont="1" applyBorder="1" applyAlignment="1">
      <alignment horizontal="center" vertical="center" textRotation="90" wrapText="1"/>
    </xf>
    <xf numFmtId="0" fontId="3" fillId="0" borderId="75" xfId="0" applyFont="1" applyFill="1" applyBorder="1" applyAlignment="1">
      <alignment horizontal="right"/>
    </xf>
    <xf numFmtId="10" fontId="40" fillId="14" borderId="3" xfId="2" applyNumberFormat="1" applyFont="1" applyFill="1" applyBorder="1" applyAlignment="1">
      <alignment horizontal="right"/>
    </xf>
    <xf numFmtId="10" fontId="40" fillId="14" borderId="76" xfId="2" applyNumberFormat="1" applyFont="1" applyFill="1" applyBorder="1" applyAlignment="1">
      <alignment horizontal="right"/>
    </xf>
    <xf numFmtId="10" fontId="40" fillId="14" borderId="77" xfId="2" applyNumberFormat="1" applyFont="1" applyFill="1" applyBorder="1" applyAlignment="1">
      <alignment horizontal="right"/>
    </xf>
    <xf numFmtId="0" fontId="3" fillId="14" borderId="76" xfId="0" applyFont="1" applyFill="1" applyBorder="1" applyAlignment="1">
      <alignment horizontal="right"/>
    </xf>
    <xf numFmtId="10" fontId="3" fillId="14" borderId="77" xfId="2" applyNumberFormat="1" applyFont="1" applyFill="1" applyBorder="1" applyAlignment="1">
      <alignment horizontal="right"/>
    </xf>
    <xf numFmtId="0" fontId="40" fillId="14" borderId="23" xfId="0" applyFont="1" applyFill="1" applyBorder="1" applyAlignment="1">
      <alignment horizontal="right"/>
    </xf>
    <xf numFmtId="0" fontId="49" fillId="15" borderId="18" xfId="0" applyFont="1" applyFill="1" applyBorder="1" applyAlignment="1">
      <alignment horizontal="center" vertical="center" textRotation="90" wrapText="1"/>
    </xf>
    <xf numFmtId="0" fontId="3" fillId="15" borderId="96" xfId="0" applyFont="1" applyFill="1" applyBorder="1"/>
    <xf numFmtId="0" fontId="3" fillId="15" borderId="63" xfId="0" applyFont="1" applyFill="1" applyBorder="1" applyAlignment="1">
      <alignment horizontal="right"/>
    </xf>
    <xf numFmtId="10" fontId="40" fillId="15" borderId="66" xfId="2" applyNumberFormat="1" applyFont="1" applyFill="1" applyBorder="1" applyAlignment="1">
      <alignment horizontal="right"/>
    </xf>
    <xf numFmtId="0" fontId="3" fillId="15" borderId="68" xfId="0" applyFont="1" applyFill="1" applyBorder="1" applyAlignment="1">
      <alignment horizontal="right"/>
    </xf>
    <xf numFmtId="0" fontId="40" fillId="15" borderId="65" xfId="0" applyFont="1" applyFill="1" applyBorder="1"/>
    <xf numFmtId="0" fontId="40" fillId="17" borderId="80" xfId="0" applyFont="1" applyFill="1" applyBorder="1" applyAlignment="1">
      <alignment horizontal="right"/>
    </xf>
    <xf numFmtId="0" fontId="49" fillId="15" borderId="0" xfId="0" applyFont="1" applyFill="1" applyBorder="1" applyAlignment="1">
      <alignment horizontal="center" vertical="center" textRotation="90" wrapText="1"/>
    </xf>
    <xf numFmtId="0" fontId="3" fillId="15" borderId="97" xfId="0" applyFont="1" applyFill="1" applyBorder="1"/>
    <xf numFmtId="0" fontId="3" fillId="15" borderId="81" xfId="0" applyFont="1" applyFill="1" applyBorder="1" applyAlignment="1">
      <alignment horizontal="right"/>
    </xf>
    <xf numFmtId="0" fontId="3" fillId="15" borderId="98" xfId="0" applyFont="1" applyFill="1" applyBorder="1" applyAlignment="1">
      <alignment horizontal="right"/>
    </xf>
    <xf numFmtId="0" fontId="40" fillId="15" borderId="83" xfId="0" applyFont="1" applyFill="1" applyBorder="1"/>
    <xf numFmtId="0" fontId="40" fillId="17" borderId="87" xfId="0" applyFont="1" applyFill="1" applyBorder="1" applyAlignment="1">
      <alignment horizontal="right"/>
    </xf>
    <xf numFmtId="0" fontId="3" fillId="15" borderId="86" xfId="0" applyFont="1" applyFill="1" applyBorder="1"/>
    <xf numFmtId="0" fontId="3" fillId="15" borderId="85" xfId="0" applyFont="1" applyFill="1" applyBorder="1" applyAlignment="1">
      <alignment horizontal="right"/>
    </xf>
    <xf numFmtId="0" fontId="3" fillId="15" borderId="12" xfId="0" applyFont="1" applyFill="1" applyBorder="1" applyAlignment="1">
      <alignment horizontal="right"/>
    </xf>
    <xf numFmtId="0" fontId="49" fillId="15" borderId="3" xfId="0" applyFont="1" applyFill="1" applyBorder="1" applyAlignment="1">
      <alignment horizontal="center" vertical="center" textRotation="90" wrapText="1"/>
    </xf>
    <xf numFmtId="0" fontId="3" fillId="15" borderId="79" xfId="0" applyFont="1" applyFill="1" applyBorder="1"/>
    <xf numFmtId="0" fontId="3" fillId="15" borderId="71" xfId="0" applyFont="1" applyFill="1" applyBorder="1" applyAlignment="1">
      <alignment horizontal="right"/>
    </xf>
    <xf numFmtId="10" fontId="40" fillId="15" borderId="74" xfId="2" applyNumberFormat="1" applyFont="1" applyFill="1" applyBorder="1" applyAlignment="1">
      <alignment horizontal="right"/>
    </xf>
    <xf numFmtId="0" fontId="3" fillId="15" borderId="75" xfId="0" applyFont="1" applyFill="1" applyBorder="1" applyAlignment="1">
      <alignment horizontal="right"/>
    </xf>
    <xf numFmtId="0" fontId="40" fillId="17" borderId="89" xfId="0" applyFont="1" applyFill="1" applyBorder="1" applyAlignment="1">
      <alignment horizontal="right"/>
    </xf>
    <xf numFmtId="0" fontId="3" fillId="18" borderId="96" xfId="0" applyFont="1" applyFill="1" applyBorder="1"/>
    <xf numFmtId="0" fontId="3" fillId="18" borderId="65" xfId="0" applyFont="1" applyFill="1" applyBorder="1" applyAlignment="1">
      <alignment horizontal="right"/>
    </xf>
    <xf numFmtId="10" fontId="40" fillId="18" borderId="66" xfId="2" applyNumberFormat="1" applyFont="1" applyFill="1" applyBorder="1" applyAlignment="1">
      <alignment horizontal="right"/>
    </xf>
    <xf numFmtId="0" fontId="3" fillId="18" borderId="68" xfId="0" applyFont="1" applyFill="1" applyBorder="1" applyAlignment="1">
      <alignment horizontal="right"/>
    </xf>
    <xf numFmtId="0" fontId="40" fillId="18" borderId="65" xfId="0" applyFont="1" applyFill="1" applyBorder="1"/>
    <xf numFmtId="0" fontId="3" fillId="17" borderId="80" xfId="0" applyFont="1" applyFill="1" applyBorder="1" applyAlignment="1">
      <alignment horizontal="right"/>
    </xf>
    <xf numFmtId="10" fontId="40" fillId="0" borderId="66" xfId="0" applyNumberFormat="1" applyFont="1" applyBorder="1"/>
    <xf numFmtId="0" fontId="3" fillId="18" borderId="97" xfId="0" applyFont="1" applyFill="1" applyBorder="1"/>
    <xf numFmtId="0" fontId="3" fillId="18" borderId="83" xfId="0" applyFont="1" applyFill="1" applyBorder="1" applyAlignment="1">
      <alignment horizontal="right"/>
    </xf>
    <xf numFmtId="10" fontId="40" fillId="18" borderId="84" xfId="2" applyNumberFormat="1" applyFont="1" applyFill="1" applyBorder="1" applyAlignment="1">
      <alignment horizontal="right"/>
    </xf>
    <xf numFmtId="0" fontId="3" fillId="18" borderId="12" xfId="0" applyFont="1" applyFill="1" applyBorder="1" applyAlignment="1">
      <alignment horizontal="right"/>
    </xf>
    <xf numFmtId="0" fontId="40" fillId="18" borderId="83" xfId="0" applyFont="1" applyFill="1" applyBorder="1"/>
    <xf numFmtId="0" fontId="3" fillId="17" borderId="87" xfId="0" applyFont="1" applyFill="1" applyBorder="1" applyAlignment="1">
      <alignment horizontal="right"/>
    </xf>
    <xf numFmtId="10" fontId="40" fillId="0" borderId="84" xfId="0" applyNumberFormat="1" applyFont="1" applyBorder="1"/>
    <xf numFmtId="0" fontId="3" fillId="18" borderId="98" xfId="0" applyFont="1" applyFill="1" applyBorder="1" applyAlignment="1">
      <alignment horizontal="right"/>
    </xf>
    <xf numFmtId="0" fontId="3" fillId="18" borderId="79" xfId="0" applyFont="1" applyFill="1" applyBorder="1"/>
    <xf numFmtId="0" fontId="3" fillId="18" borderId="73" xfId="0" applyFont="1" applyFill="1" applyBorder="1" applyAlignment="1">
      <alignment horizontal="right"/>
    </xf>
    <xf numFmtId="10" fontId="40" fillId="18" borderId="74" xfId="2" applyNumberFormat="1" applyFont="1" applyFill="1" applyBorder="1" applyAlignment="1">
      <alignment horizontal="right"/>
    </xf>
    <xf numFmtId="0" fontId="3" fillId="18" borderId="75" xfId="0" applyFont="1" applyFill="1" applyBorder="1" applyAlignment="1">
      <alignment horizontal="right"/>
    </xf>
    <xf numFmtId="0" fontId="40" fillId="18" borderId="73" xfId="0" applyFont="1" applyFill="1" applyBorder="1"/>
    <xf numFmtId="0" fontId="3" fillId="17" borderId="89" xfId="0" applyFont="1" applyFill="1" applyBorder="1" applyAlignment="1">
      <alignment horizontal="right"/>
    </xf>
    <xf numFmtId="10" fontId="40" fillId="0" borderId="74" xfId="0" applyNumberFormat="1" applyFont="1" applyBorder="1"/>
    <xf numFmtId="0" fontId="3" fillId="18" borderId="101" xfId="0" applyFont="1" applyFill="1" applyBorder="1"/>
    <xf numFmtId="0" fontId="3" fillId="17" borderId="90" xfId="0" applyFont="1" applyFill="1" applyBorder="1" applyAlignment="1">
      <alignment horizontal="right"/>
    </xf>
    <xf numFmtId="10" fontId="40" fillId="17" borderId="91" xfId="2" applyNumberFormat="1" applyFont="1" applyFill="1" applyBorder="1" applyAlignment="1">
      <alignment horizontal="right"/>
    </xf>
    <xf numFmtId="0" fontId="40" fillId="17" borderId="90" xfId="0" applyFont="1" applyFill="1" applyBorder="1" applyAlignment="1">
      <alignment horizontal="right"/>
    </xf>
    <xf numFmtId="0" fontId="40" fillId="17" borderId="0" xfId="0" applyFont="1" applyFill="1" applyBorder="1" applyAlignment="1">
      <alignment horizontal="center"/>
    </xf>
    <xf numFmtId="0" fontId="42" fillId="17" borderId="0" xfId="0" applyFont="1" applyFill="1" applyBorder="1" applyAlignment="1">
      <alignment horizontal="center"/>
    </xf>
    <xf numFmtId="10" fontId="40" fillId="18" borderId="91" xfId="0" applyNumberFormat="1" applyFont="1" applyFill="1" applyBorder="1" applyAlignment="1">
      <alignment horizontal="right"/>
    </xf>
    <xf numFmtId="10" fontId="40" fillId="17" borderId="102" xfId="2" applyNumberFormat="1" applyFont="1" applyFill="1" applyBorder="1" applyAlignment="1">
      <alignment horizontal="right"/>
    </xf>
    <xf numFmtId="0" fontId="40" fillId="0" borderId="103" xfId="0" applyFont="1" applyBorder="1"/>
    <xf numFmtId="10" fontId="40" fillId="0" borderId="102" xfId="2" applyNumberFormat="1" applyFont="1" applyBorder="1" applyAlignment="1">
      <alignment horizontal="right"/>
    </xf>
    <xf numFmtId="0" fontId="40" fillId="17" borderId="65" xfId="0" applyFont="1" applyFill="1" applyBorder="1"/>
    <xf numFmtId="0" fontId="3" fillId="17" borderId="18" xfId="0" applyFont="1" applyFill="1" applyBorder="1" applyAlignment="1">
      <alignment horizontal="right"/>
    </xf>
    <xf numFmtId="10" fontId="40" fillId="17" borderId="69" xfId="2" applyNumberFormat="1" applyFont="1" applyFill="1" applyBorder="1" applyAlignment="1">
      <alignment horizontal="right"/>
    </xf>
    <xf numFmtId="0" fontId="40" fillId="17" borderId="63" xfId="0" applyFont="1" applyFill="1" applyBorder="1" applyAlignment="1">
      <alignment horizontal="right"/>
    </xf>
    <xf numFmtId="10" fontId="40" fillId="18" borderId="70" xfId="0" applyNumberFormat="1" applyFont="1" applyFill="1" applyBorder="1" applyAlignment="1">
      <alignment horizontal="right"/>
    </xf>
    <xf numFmtId="0" fontId="3" fillId="18" borderId="82" xfId="0" applyFont="1" applyFill="1" applyBorder="1"/>
    <xf numFmtId="10" fontId="40" fillId="17" borderId="84" xfId="2" applyNumberFormat="1" applyFont="1" applyFill="1" applyBorder="1" applyAlignment="1">
      <alignment horizontal="right"/>
    </xf>
    <xf numFmtId="0" fontId="40" fillId="17" borderId="85" xfId="0" applyFont="1" applyFill="1" applyBorder="1" applyAlignment="1">
      <alignment horizontal="right"/>
    </xf>
    <xf numFmtId="0" fontId="3" fillId="17" borderId="85" xfId="0" applyFont="1" applyFill="1" applyBorder="1" applyAlignment="1">
      <alignment horizontal="right"/>
    </xf>
    <xf numFmtId="10" fontId="40" fillId="18" borderId="84" xfId="0" applyNumberFormat="1" applyFont="1" applyFill="1" applyBorder="1" applyAlignment="1">
      <alignment horizontal="right"/>
    </xf>
    <xf numFmtId="10" fontId="40" fillId="17" borderId="86" xfId="2" applyNumberFormat="1" applyFont="1" applyFill="1" applyBorder="1" applyAlignment="1">
      <alignment horizontal="right"/>
    </xf>
    <xf numFmtId="0" fontId="40" fillId="17" borderId="83" xfId="0" applyFont="1" applyFill="1" applyBorder="1"/>
    <xf numFmtId="0" fontId="3" fillId="17" borderId="0" xfId="0" applyFont="1" applyFill="1" applyBorder="1" applyAlignment="1">
      <alignment horizontal="right"/>
    </xf>
    <xf numFmtId="10" fontId="40" fillId="17" borderId="52" xfId="2" applyNumberFormat="1" applyFont="1" applyFill="1" applyBorder="1" applyAlignment="1">
      <alignment horizontal="right"/>
    </xf>
    <xf numFmtId="0" fontId="40" fillId="17" borderId="81" xfId="0" applyFont="1" applyFill="1" applyBorder="1" applyAlignment="1">
      <alignment horizontal="right"/>
    </xf>
    <xf numFmtId="10" fontId="40" fillId="18" borderId="86" xfId="0" applyNumberFormat="1" applyFont="1" applyFill="1" applyBorder="1" applyAlignment="1">
      <alignment horizontal="right"/>
    </xf>
    <xf numFmtId="0" fontId="3" fillId="18" borderId="104" xfId="0" applyFont="1" applyFill="1" applyBorder="1"/>
    <xf numFmtId="0" fontId="40" fillId="0" borderId="105" xfId="0" applyFont="1" applyBorder="1"/>
    <xf numFmtId="0" fontId="40" fillId="17" borderId="73" xfId="0" applyFont="1" applyFill="1" applyBorder="1"/>
    <xf numFmtId="0" fontId="3" fillId="17" borderId="3" xfId="0" applyFont="1" applyFill="1" applyBorder="1" applyAlignment="1">
      <alignment horizontal="right"/>
    </xf>
    <xf numFmtId="10" fontId="40" fillId="17" borderId="77" xfId="2" applyNumberFormat="1" applyFont="1" applyFill="1" applyBorder="1" applyAlignment="1">
      <alignment horizontal="right"/>
    </xf>
    <xf numFmtId="0" fontId="40" fillId="17" borderId="71" xfId="0" applyFont="1" applyFill="1" applyBorder="1" applyAlignment="1">
      <alignment horizontal="right"/>
    </xf>
    <xf numFmtId="10" fontId="40" fillId="18" borderId="88" xfId="0" applyNumberFormat="1" applyFont="1" applyFill="1" applyBorder="1" applyAlignment="1">
      <alignment horizontal="right"/>
    </xf>
    <xf numFmtId="0" fontId="49" fillId="0" borderId="0" xfId="0" applyFont="1" applyBorder="1" applyAlignment="1">
      <alignment horizontal="left" vertical="center" textRotation="90" wrapText="1"/>
    </xf>
    <xf numFmtId="0" fontId="3" fillId="0" borderId="106" xfId="0" applyFont="1" applyFill="1" applyBorder="1"/>
    <xf numFmtId="0" fontId="57" fillId="14" borderId="68" xfId="0" applyFont="1" applyFill="1" applyBorder="1" applyAlignment="1">
      <alignment horizontal="right"/>
    </xf>
    <xf numFmtId="10" fontId="58" fillId="14" borderId="69" xfId="2" applyNumberFormat="1" applyFont="1" applyFill="1" applyBorder="1" applyAlignment="1">
      <alignment horizontal="right"/>
    </xf>
    <xf numFmtId="10" fontId="58" fillId="14" borderId="18" xfId="2" applyNumberFormat="1" applyFont="1" applyFill="1" applyBorder="1" applyAlignment="1">
      <alignment horizontal="right"/>
    </xf>
    <xf numFmtId="10" fontId="58" fillId="14" borderId="68" xfId="2" applyNumberFormat="1" applyFont="1" applyFill="1" applyBorder="1" applyAlignment="1">
      <alignment horizontal="right"/>
    </xf>
    <xf numFmtId="0" fontId="58" fillId="14" borderId="68" xfId="0" applyFont="1" applyFill="1" applyBorder="1" applyAlignment="1">
      <alignment horizontal="left"/>
    </xf>
    <xf numFmtId="0" fontId="40" fillId="14" borderId="68" xfId="0" applyFont="1" applyFill="1" applyBorder="1"/>
    <xf numFmtId="0" fontId="3" fillId="14" borderId="18" xfId="0" applyFont="1" applyFill="1" applyBorder="1" applyAlignment="1">
      <alignment horizontal="right"/>
    </xf>
    <xf numFmtId="10" fontId="40" fillId="14" borderId="18" xfId="0" applyNumberFormat="1" applyFont="1" applyFill="1" applyBorder="1"/>
    <xf numFmtId="0" fontId="59" fillId="0" borderId="0" xfId="0" applyFont="1" applyBorder="1" applyAlignment="1">
      <alignment horizontal="left" vertical="center" textRotation="90" wrapText="1"/>
    </xf>
    <xf numFmtId="0" fontId="3" fillId="0" borderId="107" xfId="0" applyFont="1" applyFill="1" applyBorder="1"/>
    <xf numFmtId="0" fontId="40" fillId="14" borderId="12" xfId="0" applyFont="1" applyFill="1" applyBorder="1"/>
    <xf numFmtId="0" fontId="3" fillId="14" borderId="0" xfId="0" applyFont="1" applyFill="1" applyBorder="1" applyAlignment="1">
      <alignment horizontal="right"/>
    </xf>
    <xf numFmtId="10" fontId="40" fillId="14" borderId="0" xfId="0" applyNumberFormat="1" applyFont="1" applyFill="1" applyBorder="1"/>
    <xf numFmtId="0" fontId="59" fillId="0" borderId="3" xfId="0" applyFont="1" applyBorder="1" applyAlignment="1">
      <alignment horizontal="left" vertical="center" textRotation="90" wrapText="1"/>
    </xf>
    <xf numFmtId="0" fontId="3" fillId="0" borderId="74" xfId="0" applyFont="1" applyFill="1" applyBorder="1"/>
    <xf numFmtId="10" fontId="40" fillId="0" borderId="3" xfId="2" applyNumberFormat="1" applyFont="1" applyBorder="1" applyAlignment="1">
      <alignment horizontal="right"/>
    </xf>
    <xf numFmtId="0" fontId="40" fillId="14" borderId="76" xfId="0" applyFont="1" applyFill="1" applyBorder="1"/>
    <xf numFmtId="10" fontId="40" fillId="14" borderId="23" xfId="2" applyNumberFormat="1" applyFont="1" applyFill="1" applyBorder="1" applyAlignment="1">
      <alignment horizontal="right"/>
    </xf>
    <xf numFmtId="0" fontId="3" fillId="14" borderId="3" xfId="0" applyFont="1" applyFill="1" applyBorder="1" applyAlignment="1">
      <alignment horizontal="right"/>
    </xf>
    <xf numFmtId="10" fontId="40" fillId="14" borderId="3" xfId="0" applyNumberFormat="1" applyFont="1" applyFill="1" applyBorder="1"/>
    <xf numFmtId="0" fontId="40" fillId="0" borderId="108" xfId="0" applyFont="1" applyBorder="1"/>
    <xf numFmtId="0" fontId="40" fillId="0" borderId="63" xfId="0" quotePrefix="1" applyFont="1" applyBorder="1" applyAlignment="1">
      <alignment horizontal="left"/>
    </xf>
    <xf numFmtId="0" fontId="40" fillId="0" borderId="71" xfId="0" quotePrefix="1" applyFont="1" applyBorder="1"/>
    <xf numFmtId="0" fontId="3" fillId="0" borderId="63" xfId="0" quotePrefix="1" applyFont="1" applyFill="1" applyBorder="1" applyAlignment="1">
      <alignment horizontal="left"/>
    </xf>
    <xf numFmtId="0" fontId="3" fillId="0" borderId="81" xfId="0" quotePrefix="1" applyFont="1" applyFill="1" applyBorder="1" applyAlignment="1">
      <alignment horizontal="left"/>
    </xf>
    <xf numFmtId="0" fontId="3" fillId="0" borderId="71" xfId="0" quotePrefix="1" applyFont="1" applyFill="1" applyBorder="1" applyAlignment="1">
      <alignment horizontal="left"/>
    </xf>
    <xf numFmtId="0" fontId="40" fillId="15" borderId="81" xfId="0" quotePrefix="1" applyFont="1" applyFill="1" applyBorder="1" applyAlignment="1">
      <alignment horizontal="left"/>
    </xf>
    <xf numFmtId="0" fontId="40" fillId="0" borderId="81" xfId="0" quotePrefix="1" applyFont="1" applyBorder="1" applyAlignment="1">
      <alignment horizontal="left"/>
    </xf>
    <xf numFmtId="0" fontId="40" fillId="16" borderId="92" xfId="0" quotePrefix="1" applyFont="1" applyFill="1" applyBorder="1" applyAlignment="1">
      <alignment horizontal="left"/>
    </xf>
    <xf numFmtId="0" fontId="40" fillId="0" borderId="71" xfId="0" quotePrefix="1" applyFont="1" applyBorder="1" applyAlignment="1">
      <alignment horizontal="left"/>
    </xf>
    <xf numFmtId="0" fontId="40" fillId="15" borderId="63" xfId="0" quotePrefix="1" applyFont="1" applyFill="1" applyBorder="1" applyAlignment="1">
      <alignment horizontal="left"/>
    </xf>
    <xf numFmtId="0" fontId="40" fillId="15" borderId="71" xfId="0" quotePrefix="1" applyFont="1" applyFill="1" applyBorder="1" applyAlignment="1">
      <alignment horizontal="left"/>
    </xf>
    <xf numFmtId="0" fontId="40" fillId="18" borderId="65" xfId="0" quotePrefix="1" applyFont="1" applyFill="1" applyBorder="1" applyAlignment="1">
      <alignment horizontal="left"/>
    </xf>
    <xf numFmtId="0" fontId="40" fillId="18" borderId="83" xfId="0" quotePrefix="1" applyFont="1" applyFill="1" applyBorder="1" applyAlignment="1">
      <alignment horizontal="left"/>
    </xf>
    <xf numFmtId="0" fontId="40" fillId="18" borderId="73" xfId="0" quotePrefix="1" applyFont="1" applyFill="1" applyBorder="1" applyAlignment="1">
      <alignment horizontal="left"/>
    </xf>
    <xf numFmtId="0" fontId="40" fillId="18" borderId="100" xfId="0" quotePrefix="1" applyFont="1" applyFill="1" applyBorder="1" applyAlignment="1">
      <alignment horizontal="left"/>
    </xf>
    <xf numFmtId="0" fontId="40" fillId="18" borderId="81" xfId="0" quotePrefix="1" applyFont="1" applyFill="1" applyBorder="1" applyAlignment="1">
      <alignment horizontal="left"/>
    </xf>
    <xf numFmtId="0" fontId="0" fillId="2" borderId="109" xfId="0" applyFill="1" applyBorder="1" applyAlignment="1" applyProtection="1">
      <alignment horizontal="center" vertical="center"/>
      <protection locked="0"/>
    </xf>
    <xf numFmtId="0" fontId="10" fillId="6" borderId="17" xfId="3" applyFont="1" applyFill="1" applyBorder="1" applyAlignment="1">
      <alignment horizontal="left"/>
    </xf>
    <xf numFmtId="0" fontId="4" fillId="6" borderId="18" xfId="3" applyFont="1" applyFill="1" applyBorder="1"/>
    <xf numFmtId="0" fontId="6" fillId="6" borderId="18" xfId="3" applyFill="1" applyBorder="1"/>
    <xf numFmtId="0" fontId="6" fillId="6" borderId="18" xfId="3" applyFill="1" applyBorder="1" applyAlignment="1">
      <alignment horizontal="right"/>
    </xf>
    <xf numFmtId="0" fontId="6" fillId="6" borderId="19" xfId="3" applyFill="1" applyBorder="1" applyAlignment="1">
      <alignment horizontal="right"/>
    </xf>
    <xf numFmtId="0" fontId="3" fillId="0" borderId="20" xfId="3" applyFont="1" applyBorder="1"/>
    <xf numFmtId="0" fontId="13" fillId="0" borderId="20" xfId="3" applyFont="1" applyFill="1" applyBorder="1" applyAlignment="1">
      <alignment horizontal="center"/>
    </xf>
    <xf numFmtId="0" fontId="9" fillId="0" borderId="21" xfId="3" applyFont="1" applyFill="1" applyBorder="1" applyAlignment="1">
      <alignment horizontal="center"/>
    </xf>
    <xf numFmtId="0" fontId="3" fillId="0" borderId="111" xfId="3" applyFont="1" applyFill="1" applyBorder="1" applyAlignment="1">
      <alignment horizontal="right"/>
    </xf>
    <xf numFmtId="0" fontId="9" fillId="0" borderId="110" xfId="3" applyFont="1" applyFill="1" applyBorder="1" applyAlignment="1">
      <alignment horizontal="center"/>
    </xf>
    <xf numFmtId="0" fontId="3" fillId="0" borderId="20" xfId="3" applyFont="1" applyFill="1" applyBorder="1" applyAlignment="1">
      <alignment horizontal="center"/>
    </xf>
    <xf numFmtId="167" fontId="3" fillId="10" borderId="112" xfId="5" quotePrefix="1" applyNumberFormat="1" applyFont="1" applyFill="1" applyBorder="1" applyAlignment="1">
      <alignment horizontal="right"/>
    </xf>
    <xf numFmtId="0" fontId="3" fillId="0" borderId="113" xfId="3" quotePrefix="1" applyFont="1" applyFill="1" applyBorder="1" applyAlignment="1">
      <alignment horizontal="center"/>
    </xf>
    <xf numFmtId="167" fontId="40" fillId="10" borderId="112" xfId="5" quotePrefix="1" applyNumberFormat="1" applyFont="1" applyFill="1" applyBorder="1" applyAlignment="1">
      <alignment horizontal="right"/>
    </xf>
    <xf numFmtId="0" fontId="3" fillId="0" borderId="20" xfId="3" quotePrefix="1" applyFont="1" applyFill="1" applyBorder="1" applyAlignment="1">
      <alignment horizontal="center"/>
    </xf>
    <xf numFmtId="0" fontId="3" fillId="0" borderId="113" xfId="3" applyFont="1" applyFill="1" applyBorder="1" applyAlignment="1">
      <alignment horizontal="center"/>
    </xf>
    <xf numFmtId="167" fontId="20" fillId="0" borderId="112" xfId="5" quotePrefix="1" applyNumberFormat="1" applyFont="1" applyFill="1" applyBorder="1" applyAlignment="1">
      <alignment horizontal="center" vertical="center" wrapText="1"/>
    </xf>
    <xf numFmtId="167" fontId="40" fillId="9" borderId="112" xfId="5" quotePrefix="1" applyNumberFormat="1" applyFont="1" applyFill="1" applyBorder="1" applyAlignment="1">
      <alignment horizontal="right"/>
    </xf>
    <xf numFmtId="167" fontId="3" fillId="10" borderId="112" xfId="0" applyNumberFormat="1" applyFont="1" applyFill="1" applyBorder="1" applyAlignment="1">
      <alignment horizontal="right"/>
    </xf>
    <xf numFmtId="167" fontId="40" fillId="10" borderId="114" xfId="5" quotePrefix="1" applyNumberFormat="1" applyFont="1" applyFill="1" applyBorder="1" applyAlignment="1">
      <alignment horizontal="right"/>
    </xf>
    <xf numFmtId="0" fontId="3" fillId="0" borderId="115" xfId="3" applyFont="1" applyFill="1" applyBorder="1" applyAlignment="1">
      <alignment horizontal="center"/>
    </xf>
    <xf numFmtId="0" fontId="3" fillId="0" borderId="20" xfId="3" applyFont="1" applyFill="1" applyBorder="1" applyAlignment="1">
      <alignment horizontal="left"/>
    </xf>
    <xf numFmtId="167" fontId="3" fillId="10" borderId="114" xfId="5" quotePrefix="1" applyNumberFormat="1" applyFont="1" applyFill="1" applyBorder="1" applyAlignment="1">
      <alignment horizontal="right"/>
    </xf>
    <xf numFmtId="0" fontId="3" fillId="0" borderId="22" xfId="3" applyFont="1" applyFill="1" applyBorder="1" applyAlignment="1">
      <alignment horizontal="left"/>
    </xf>
    <xf numFmtId="0" fontId="4" fillId="10" borderId="116" xfId="0" applyFont="1" applyFill="1" applyBorder="1" applyAlignment="1">
      <alignment horizontal="right"/>
    </xf>
    <xf numFmtId="0" fontId="3" fillId="10" borderId="116" xfId="0" applyFont="1" applyFill="1" applyBorder="1" applyAlignment="1">
      <alignment horizontal="left"/>
    </xf>
    <xf numFmtId="0" fontId="3" fillId="10" borderId="116" xfId="0" applyFont="1" applyFill="1" applyBorder="1" applyAlignment="1">
      <alignment horizontal="center"/>
    </xf>
    <xf numFmtId="0" fontId="3" fillId="10" borderId="116" xfId="0" applyFont="1" applyFill="1" applyBorder="1" applyAlignment="1">
      <alignment horizontal="right"/>
    </xf>
    <xf numFmtId="167" fontId="3" fillId="10" borderId="117" xfId="5" quotePrefix="1" applyNumberFormat="1" applyFont="1" applyFill="1" applyBorder="1" applyAlignment="1">
      <alignment horizontal="right"/>
    </xf>
    <xf numFmtId="167" fontId="40" fillId="0" borderId="74" xfId="0" applyNumberFormat="1" applyFont="1" applyBorder="1" applyAlignment="1">
      <alignment horizontal="right"/>
    </xf>
    <xf numFmtId="0" fontId="31" fillId="18" borderId="0" xfId="0" applyFont="1" applyFill="1" applyBorder="1" applyAlignment="1">
      <alignment horizontal="center" vertical="center" textRotation="90" wrapText="1"/>
    </xf>
    <xf numFmtId="0" fontId="40" fillId="18" borderId="118" xfId="0" quotePrefix="1" applyFont="1" applyFill="1" applyBorder="1" applyAlignment="1">
      <alignment horizontal="left"/>
    </xf>
    <xf numFmtId="0" fontId="3" fillId="18" borderId="52" xfId="0" applyFont="1" applyFill="1" applyBorder="1"/>
    <xf numFmtId="0" fontId="3" fillId="17" borderId="12" xfId="0" applyFont="1" applyFill="1" applyBorder="1" applyAlignment="1">
      <alignment horizontal="right"/>
    </xf>
    <xf numFmtId="0" fontId="40" fillId="17" borderId="0" xfId="0" applyFont="1" applyFill="1" applyBorder="1" applyAlignment="1">
      <alignment horizontal="right"/>
    </xf>
    <xf numFmtId="10" fontId="40" fillId="17" borderId="0" xfId="2" applyNumberFormat="1" applyFont="1" applyFill="1" applyBorder="1" applyAlignment="1">
      <alignment horizontal="right"/>
    </xf>
    <xf numFmtId="0" fontId="40" fillId="17" borderId="12" xfId="0" applyFont="1" applyFill="1" applyBorder="1" applyAlignment="1">
      <alignment horizontal="right"/>
    </xf>
    <xf numFmtId="10" fontId="40" fillId="18" borderId="52" xfId="0" applyNumberFormat="1" applyFont="1" applyFill="1" applyBorder="1" applyAlignment="1">
      <alignment horizontal="right"/>
    </xf>
    <xf numFmtId="0" fontId="40" fillId="0" borderId="12" xfId="0" applyFont="1" applyFill="1" applyBorder="1"/>
    <xf numFmtId="10" fontId="40" fillId="0" borderId="52" xfId="0" applyNumberFormat="1" applyFont="1" applyFill="1" applyBorder="1" applyAlignment="1">
      <alignment horizontal="right"/>
    </xf>
    <xf numFmtId="10" fontId="40" fillId="17" borderId="21" xfId="2" applyNumberFormat="1" applyFont="1" applyFill="1" applyBorder="1" applyAlignment="1">
      <alignment horizontal="right"/>
    </xf>
    <xf numFmtId="0" fontId="40" fillId="0" borderId="20" xfId="0" applyFont="1" applyBorder="1"/>
    <xf numFmtId="10" fontId="40" fillId="0" borderId="21" xfId="2" applyNumberFormat="1" applyFont="1" applyBorder="1" applyAlignment="1">
      <alignment horizontal="right"/>
    </xf>
    <xf numFmtId="0" fontId="40" fillId="17" borderId="20" xfId="0" applyFont="1" applyFill="1" applyBorder="1"/>
    <xf numFmtId="10" fontId="40" fillId="0" borderId="0" xfId="0" applyNumberFormat="1" applyFont="1" applyBorder="1"/>
    <xf numFmtId="10" fontId="40" fillId="18" borderId="21" xfId="0" applyNumberFormat="1" applyFont="1" applyFill="1" applyBorder="1" applyAlignment="1">
      <alignment horizontal="right"/>
    </xf>
    <xf numFmtId="10" fontId="0" fillId="10" borderId="11" xfId="2" applyNumberFormat="1" applyFont="1" applyFill="1" applyBorder="1" applyProtection="1">
      <protection locked="0"/>
    </xf>
    <xf numFmtId="0" fontId="26" fillId="3" borderId="19" xfId="0" applyFont="1" applyFill="1" applyBorder="1"/>
    <xf numFmtId="43" fontId="0" fillId="2" borderId="20" xfId="7" applyFont="1" applyFill="1" applyBorder="1"/>
    <xf numFmtId="43" fontId="0" fillId="2" borderId="36" xfId="7" applyFont="1" applyFill="1" applyBorder="1"/>
    <xf numFmtId="43" fontId="0" fillId="0" borderId="20" xfId="7" applyFont="1" applyFill="1" applyBorder="1"/>
    <xf numFmtId="43" fontId="0" fillId="0" borderId="36" xfId="7" applyFont="1" applyFill="1" applyBorder="1"/>
    <xf numFmtId="43" fontId="0" fillId="0" borderId="22" xfId="7" applyFont="1" applyFill="1" applyBorder="1"/>
    <xf numFmtId="0" fontId="3" fillId="11" borderId="4" xfId="3" applyFont="1" applyFill="1" applyBorder="1" applyAlignment="1">
      <alignment horizontal="left"/>
    </xf>
    <xf numFmtId="7" fontId="3" fillId="0" borderId="0" xfId="3" applyNumberFormat="1" applyFont="1" applyFill="1" applyBorder="1"/>
    <xf numFmtId="7" fontId="3" fillId="2" borderId="0" xfId="3" applyNumberFormat="1" applyFont="1" applyFill="1" applyBorder="1"/>
    <xf numFmtId="5" fontId="3" fillId="0" borderId="0" xfId="3" applyNumberFormat="1" applyFont="1" applyFill="1" applyBorder="1" applyAlignment="1">
      <alignment horizontal="left"/>
    </xf>
    <xf numFmtId="5" fontId="3" fillId="0" borderId="0" xfId="3" applyNumberFormat="1" applyFont="1" applyFill="1" applyBorder="1"/>
    <xf numFmtId="5" fontId="3" fillId="0" borderId="0" xfId="3" quotePrefix="1" applyNumberFormat="1" applyFont="1" applyFill="1" applyBorder="1" applyAlignment="1">
      <alignment horizontal="left"/>
    </xf>
    <xf numFmtId="5" fontId="3" fillId="0" borderId="0" xfId="3" quotePrefix="1" applyNumberFormat="1" applyFont="1" applyFill="1" applyBorder="1" applyAlignment="1">
      <alignment horizontal="right"/>
    </xf>
    <xf numFmtId="0" fontId="31" fillId="10" borderId="35" xfId="0" applyFont="1" applyFill="1" applyBorder="1" applyAlignment="1">
      <alignment horizontal="center" wrapText="1"/>
    </xf>
    <xf numFmtId="0" fontId="0" fillId="10" borderId="119" xfId="0" applyFill="1" applyBorder="1"/>
    <xf numFmtId="0" fontId="0" fillId="12" borderId="0" xfId="0" applyFill="1" applyBorder="1"/>
    <xf numFmtId="0" fontId="31" fillId="10" borderId="22" xfId="0" applyFont="1" applyFill="1" applyBorder="1" applyAlignment="1">
      <alignment horizontal="right"/>
    </xf>
    <xf numFmtId="44" fontId="0" fillId="2" borderId="120" xfId="1" applyFont="1" applyFill="1" applyBorder="1" applyProtection="1">
      <protection locked="0"/>
    </xf>
    <xf numFmtId="0" fontId="22" fillId="10" borderId="3" xfId="0" applyFont="1" applyFill="1" applyBorder="1" applyAlignment="1">
      <alignment horizontal="right"/>
    </xf>
    <xf numFmtId="10" fontId="0" fillId="10" borderId="30" xfId="0" applyNumberFormat="1" applyFill="1" applyBorder="1"/>
    <xf numFmtId="44" fontId="3" fillId="0" borderId="0" xfId="3" applyNumberFormat="1" applyFont="1" applyFill="1" applyBorder="1"/>
    <xf numFmtId="44" fontId="3" fillId="19" borderId="19" xfId="1" applyFont="1" applyFill="1" applyBorder="1"/>
    <xf numFmtId="5" fontId="3" fillId="19" borderId="21" xfId="3" applyNumberFormat="1" applyFont="1" applyFill="1" applyBorder="1"/>
    <xf numFmtId="5" fontId="3" fillId="0" borderId="21" xfId="3" applyNumberFormat="1" applyFont="1" applyFill="1" applyBorder="1"/>
    <xf numFmtId="44" fontId="3" fillId="0" borderId="21" xfId="3" applyNumberFormat="1" applyFont="1" applyFill="1" applyBorder="1"/>
    <xf numFmtId="37" fontId="3" fillId="19" borderId="23" xfId="3" applyNumberFormat="1" applyFont="1" applyFill="1" applyBorder="1"/>
    <xf numFmtId="44" fontId="3" fillId="2" borderId="0" xfId="3" applyNumberFormat="1" applyFont="1" applyFill="1" applyBorder="1"/>
    <xf numFmtId="37" fontId="3" fillId="0" borderId="21" xfId="3" applyNumberFormat="1" applyFont="1" applyFill="1" applyBorder="1"/>
    <xf numFmtId="5" fontId="3" fillId="14" borderId="0" xfId="3" applyNumberFormat="1" applyFont="1" applyFill="1" applyBorder="1" applyAlignment="1">
      <alignment horizontal="left"/>
    </xf>
    <xf numFmtId="5" fontId="3" fillId="14" borderId="0" xfId="3" applyNumberFormat="1" applyFont="1" applyFill="1" applyBorder="1"/>
    <xf numFmtId="7" fontId="3" fillId="14" borderId="0" xfId="3" applyNumberFormat="1" applyFont="1" applyFill="1" applyBorder="1"/>
    <xf numFmtId="5" fontId="3" fillId="14" borderId="0" xfId="3" quotePrefix="1" applyNumberFormat="1" applyFont="1" applyFill="1" applyBorder="1" applyAlignment="1">
      <alignment horizontal="left"/>
    </xf>
    <xf numFmtId="44" fontId="0" fillId="0" borderId="0" xfId="1" applyFont="1"/>
    <xf numFmtId="44" fontId="3" fillId="0" borderId="0" xfId="1" applyFont="1" applyFill="1" applyBorder="1"/>
    <xf numFmtId="7" fontId="3" fillId="0" borderId="0" xfId="1" applyNumberFormat="1" applyFont="1" applyFill="1" applyBorder="1"/>
    <xf numFmtId="43" fontId="0" fillId="0" borderId="0" xfId="7" applyFont="1"/>
    <xf numFmtId="43" fontId="3" fillId="20" borderId="0" xfId="7" applyFont="1" applyFill="1" applyBorder="1"/>
    <xf numFmtId="44" fontId="3" fillId="2" borderId="0" xfId="1" applyFont="1" applyFill="1" applyBorder="1"/>
    <xf numFmtId="5" fontId="3" fillId="19" borderId="0" xfId="3" applyNumberFormat="1" applyFont="1" applyFill="1" applyBorder="1" applyAlignment="1">
      <alignment horizontal="left"/>
    </xf>
    <xf numFmtId="44" fontId="3" fillId="14" borderId="0" xfId="1" applyFont="1" applyFill="1" applyBorder="1"/>
    <xf numFmtId="7" fontId="3" fillId="20" borderId="0" xfId="1" applyNumberFormat="1" applyFont="1" applyFill="1" applyBorder="1"/>
    <xf numFmtId="44" fontId="3" fillId="20" borderId="0" xfId="1" applyFont="1" applyFill="1" applyBorder="1"/>
    <xf numFmtId="44" fontId="3" fillId="11" borderId="0" xfId="1" applyFont="1" applyFill="1" applyBorder="1"/>
    <xf numFmtId="44" fontId="35" fillId="2" borderId="2" xfId="1" applyFont="1" applyFill="1" applyBorder="1" applyProtection="1">
      <protection locked="0"/>
    </xf>
    <xf numFmtId="0" fontId="0" fillId="3" borderId="0" xfId="0" applyFill="1" applyBorder="1"/>
    <xf numFmtId="44" fontId="0" fillId="2" borderId="121" xfId="0" applyNumberFormat="1" applyFill="1" applyBorder="1" applyAlignment="1" applyProtection="1">
      <alignment horizontal="center"/>
      <protection locked="0"/>
    </xf>
    <xf numFmtId="44" fontId="35" fillId="2" borderId="50" xfId="1" applyFont="1" applyFill="1" applyBorder="1" applyProtection="1">
      <protection locked="0"/>
    </xf>
    <xf numFmtId="10" fontId="0" fillId="2" borderId="123" xfId="0" applyNumberFormat="1" applyFill="1" applyBorder="1" applyProtection="1">
      <protection locked="0"/>
    </xf>
    <xf numFmtId="0" fontId="0" fillId="2" borderId="7" xfId="0" applyFill="1" applyBorder="1" applyAlignment="1" applyProtection="1">
      <alignment horizontal="center"/>
      <protection locked="0"/>
    </xf>
    <xf numFmtId="0" fontId="31" fillId="10" borderId="77" xfId="0" applyFont="1" applyFill="1" applyBorder="1" applyAlignment="1">
      <alignment horizontal="right"/>
    </xf>
    <xf numFmtId="8" fontId="35" fillId="2" borderId="2" xfId="1" applyNumberFormat="1" applyFont="1" applyFill="1" applyBorder="1" applyProtection="1">
      <protection locked="0"/>
    </xf>
    <xf numFmtId="8" fontId="35" fillId="2" borderId="2" xfId="0" applyNumberFormat="1" applyFont="1" applyFill="1" applyBorder="1" applyAlignment="1" applyProtection="1">
      <alignment horizontal="center"/>
      <protection locked="0"/>
    </xf>
    <xf numFmtId="8" fontId="35" fillId="2" borderId="15" xfId="1" applyNumberFormat="1" applyFont="1" applyFill="1" applyBorder="1" applyProtection="1">
      <protection locked="0"/>
    </xf>
    <xf numFmtId="0" fontId="22" fillId="10" borderId="122" xfId="0" applyFont="1" applyFill="1" applyBorder="1" applyAlignment="1">
      <alignment horizontal="center" wrapText="1"/>
    </xf>
    <xf numFmtId="43" fontId="3" fillId="5" borderId="0" xfId="7" applyFont="1" applyFill="1" applyBorder="1" applyAlignment="1">
      <alignment horizontal="right"/>
    </xf>
    <xf numFmtId="44" fontId="3" fillId="5" borderId="0" xfId="1" applyFont="1" applyFill="1" applyBorder="1"/>
    <xf numFmtId="43" fontId="3" fillId="5" borderId="0" xfId="7" quotePrefix="1" applyFont="1" applyFill="1" applyBorder="1" applyAlignment="1">
      <alignment horizontal="left"/>
    </xf>
    <xf numFmtId="43" fontId="3" fillId="5" borderId="0" xfId="7" applyFont="1" applyFill="1" applyBorder="1"/>
    <xf numFmtId="43" fontId="3" fillId="5" borderId="0" xfId="7" applyFont="1" applyFill="1" applyBorder="1" applyAlignment="1">
      <alignment horizontal="center"/>
    </xf>
    <xf numFmtId="43" fontId="6" fillId="0" borderId="0" xfId="7" applyFont="1" applyBorder="1"/>
    <xf numFmtId="0" fontId="26" fillId="10" borderId="0" xfId="0" applyFont="1" applyFill="1" applyBorder="1"/>
    <xf numFmtId="0" fontId="26" fillId="3" borderId="0" xfId="0" applyFont="1" applyFill="1" applyBorder="1"/>
    <xf numFmtId="0" fontId="0" fillId="0" borderId="0" xfId="0" applyFill="1"/>
    <xf numFmtId="7" fontId="3" fillId="21" borderId="0" xfId="3" applyNumberFormat="1" applyFont="1" applyFill="1" applyBorder="1"/>
    <xf numFmtId="0" fontId="0" fillId="2" borderId="15"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36" fillId="12" borderId="13" xfId="0" applyFont="1" applyFill="1" applyBorder="1" applyAlignment="1">
      <alignment horizontal="center" wrapText="1"/>
    </xf>
    <xf numFmtId="0" fontId="36" fillId="12" borderId="14" xfId="0" applyFont="1" applyFill="1" applyBorder="1" applyAlignment="1">
      <alignment horizontal="center" wrapText="1"/>
    </xf>
    <xf numFmtId="0" fontId="36" fillId="12" borderId="38" xfId="0" applyFont="1" applyFill="1" applyBorder="1" applyAlignment="1">
      <alignment horizontal="center" wrapText="1"/>
    </xf>
    <xf numFmtId="0" fontId="29" fillId="2" borderId="2" xfId="0" applyFont="1" applyFill="1" applyBorder="1" applyAlignment="1" applyProtection="1">
      <alignment horizontal="center"/>
      <protection locked="0"/>
    </xf>
    <xf numFmtId="0" fontId="22" fillId="10" borderId="24" xfId="0" applyFont="1" applyFill="1" applyBorder="1" applyAlignment="1">
      <alignment horizontal="center" wrapText="1"/>
    </xf>
    <xf numFmtId="0" fontId="0" fillId="10" borderId="15" xfId="0" applyFill="1" applyBorder="1" applyAlignment="1">
      <alignment horizontal="center"/>
    </xf>
    <xf numFmtId="0" fontId="0" fillId="10" borderId="24" xfId="0" applyFill="1" applyBorder="1" applyAlignment="1">
      <alignment horizontal="center"/>
    </xf>
    <xf numFmtId="0" fontId="0" fillId="10" borderId="11" xfId="0" applyFill="1" applyBorder="1" applyAlignment="1">
      <alignment horizontal="center"/>
    </xf>
    <xf numFmtId="0" fontId="23" fillId="10" borderId="0" xfId="0" applyFont="1" applyFill="1" applyBorder="1" applyAlignment="1">
      <alignment horizontal="left" vertical="top" wrapText="1"/>
    </xf>
    <xf numFmtId="0" fontId="23" fillId="10" borderId="21" xfId="0" applyFont="1" applyFill="1" applyBorder="1" applyAlignment="1">
      <alignment horizontal="left" vertical="top" wrapText="1"/>
    </xf>
    <xf numFmtId="0" fontId="27" fillId="12" borderId="18" xfId="0" applyFont="1" applyFill="1" applyBorder="1" applyAlignment="1">
      <alignment horizontal="center" wrapText="1"/>
    </xf>
    <xf numFmtId="0" fontId="27" fillId="12" borderId="0" xfId="0" applyFont="1" applyFill="1" applyBorder="1" applyAlignment="1">
      <alignment horizontal="center" wrapText="1"/>
    </xf>
    <xf numFmtId="0" fontId="27" fillId="12" borderId="3" xfId="0" applyFont="1" applyFill="1" applyBorder="1" applyAlignment="1">
      <alignment horizontal="center" wrapText="1"/>
    </xf>
    <xf numFmtId="0" fontId="23" fillId="12" borderId="18" xfId="0" applyFont="1" applyFill="1" applyBorder="1" applyAlignment="1">
      <alignment horizontal="center" wrapText="1"/>
    </xf>
    <xf numFmtId="0" fontId="23" fillId="12" borderId="0" xfId="0" applyFont="1" applyFill="1" applyBorder="1" applyAlignment="1">
      <alignment horizontal="center" wrapText="1"/>
    </xf>
    <xf numFmtId="0" fontId="23" fillId="12" borderId="3" xfId="0" applyFont="1" applyFill="1" applyBorder="1" applyAlignment="1">
      <alignment horizontal="center" wrapText="1"/>
    </xf>
    <xf numFmtId="0" fontId="23" fillId="12" borderId="19" xfId="0" applyFont="1" applyFill="1" applyBorder="1" applyAlignment="1">
      <alignment horizontal="center" wrapText="1"/>
    </xf>
    <xf numFmtId="0" fontId="23" fillId="12" borderId="21" xfId="0" applyFont="1" applyFill="1" applyBorder="1" applyAlignment="1">
      <alignment horizontal="center" wrapText="1"/>
    </xf>
    <xf numFmtId="0" fontId="23" fillId="12" borderId="23" xfId="0" applyFont="1" applyFill="1" applyBorder="1" applyAlignment="1">
      <alignment horizontal="center" wrapText="1"/>
    </xf>
    <xf numFmtId="0" fontId="23" fillId="12" borderId="17" xfId="0" applyFont="1" applyFill="1" applyBorder="1" applyAlignment="1">
      <alignment horizontal="center" vertical="center" wrapText="1"/>
    </xf>
    <xf numFmtId="0" fontId="23" fillId="12" borderId="20"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3" fillId="12" borderId="18" xfId="0" applyFont="1" applyFill="1" applyBorder="1" applyAlignment="1">
      <alignment horizontal="center" vertical="center" wrapText="1"/>
    </xf>
    <xf numFmtId="0" fontId="23" fillId="12" borderId="0" xfId="0" applyFont="1" applyFill="1" applyBorder="1" applyAlignment="1">
      <alignment horizontal="center" vertical="center" wrapText="1"/>
    </xf>
    <xf numFmtId="0" fontId="23" fillId="12" borderId="3" xfId="0" applyFont="1" applyFill="1" applyBorder="1" applyAlignment="1">
      <alignment horizontal="center" vertical="center" wrapText="1"/>
    </xf>
    <xf numFmtId="5" fontId="3" fillId="0" borderId="20" xfId="3" applyNumberFormat="1" applyFont="1" applyFill="1" applyBorder="1" applyAlignment="1">
      <alignment horizontal="center"/>
    </xf>
    <xf numFmtId="5" fontId="3" fillId="0" borderId="0" xfId="3" applyNumberFormat="1" applyFont="1" applyFill="1" applyBorder="1" applyAlignment="1">
      <alignment horizontal="center"/>
    </xf>
    <xf numFmtId="5" fontId="3" fillId="0" borderId="22" xfId="3" applyNumberFormat="1" applyFont="1" applyFill="1" applyBorder="1" applyAlignment="1">
      <alignment horizontal="center"/>
    </xf>
    <xf numFmtId="5" fontId="3" fillId="0" borderId="3" xfId="3" applyNumberFormat="1" applyFont="1" applyFill="1" applyBorder="1" applyAlignment="1">
      <alignment horizontal="center"/>
    </xf>
    <xf numFmtId="0" fontId="18" fillId="0" borderId="0" xfId="3" applyFont="1" applyFill="1" applyBorder="1" applyAlignment="1">
      <alignment horizontal="center"/>
    </xf>
    <xf numFmtId="0" fontId="3" fillId="5" borderId="0" xfId="3" applyFont="1" applyFill="1" applyBorder="1" applyAlignment="1">
      <alignment horizontal="center" wrapText="1"/>
    </xf>
    <xf numFmtId="0" fontId="16" fillId="0" borderId="0" xfId="3" applyFont="1" applyFill="1" applyBorder="1" applyAlignment="1">
      <alignment horizontal="center" wrapText="1"/>
    </xf>
    <xf numFmtId="0" fontId="16" fillId="0" borderId="6" xfId="3" applyFont="1" applyFill="1" applyBorder="1" applyAlignment="1">
      <alignment horizontal="center" wrapText="1"/>
    </xf>
    <xf numFmtId="0" fontId="9" fillId="0" borderId="0" xfId="3" applyFont="1" applyFill="1" applyBorder="1" applyAlignment="1">
      <alignment horizontal="center" wrapText="1"/>
    </xf>
    <xf numFmtId="0" fontId="9" fillId="0" borderId="6" xfId="3" applyFont="1" applyFill="1" applyBorder="1" applyAlignment="1">
      <alignment horizontal="center" wrapText="1"/>
    </xf>
    <xf numFmtId="0" fontId="13" fillId="0" borderId="6" xfId="3" applyFont="1" applyBorder="1" applyAlignment="1">
      <alignment horizontal="center"/>
    </xf>
    <xf numFmtId="5" fontId="3" fillId="0" borderId="17" xfId="3" applyNumberFormat="1" applyFont="1" applyFill="1" applyBorder="1" applyAlignment="1">
      <alignment horizontal="center"/>
    </xf>
    <xf numFmtId="5" fontId="3" fillId="0" borderId="18" xfId="3" applyNumberFormat="1" applyFont="1" applyFill="1" applyBorder="1" applyAlignment="1">
      <alignment horizontal="center"/>
    </xf>
    <xf numFmtId="5" fontId="3" fillId="11" borderId="0" xfId="3" applyNumberFormat="1" applyFont="1" applyFill="1" applyBorder="1" applyAlignment="1">
      <alignment horizontal="center"/>
    </xf>
    <xf numFmtId="0" fontId="13" fillId="0" borderId="110" xfId="3" applyFont="1" applyBorder="1" applyAlignment="1">
      <alignment horizontal="center"/>
    </xf>
    <xf numFmtId="166" fontId="8" fillId="0" borderId="0" xfId="3" quotePrefix="1" applyNumberFormat="1" applyFont="1" applyFill="1" applyBorder="1" applyAlignment="1">
      <alignment horizontal="center"/>
    </xf>
    <xf numFmtId="0" fontId="3" fillId="0" borderId="0" xfId="3" applyFont="1" applyFill="1" applyBorder="1" applyAlignment="1">
      <alignment horizontal="center"/>
    </xf>
    <xf numFmtId="0" fontId="53" fillId="0" borderId="0" xfId="0" applyFont="1" applyFill="1" applyBorder="1" applyAlignment="1">
      <alignment horizontal="left" vertical="center"/>
    </xf>
    <xf numFmtId="0" fontId="54" fillId="0" borderId="0" xfId="0" applyFont="1" applyFill="1" applyBorder="1" applyAlignment="1"/>
    <xf numFmtId="0" fontId="55" fillId="3" borderId="17" xfId="0" applyFont="1" applyFill="1" applyBorder="1" applyAlignment="1">
      <alignment horizontal="center"/>
    </xf>
    <xf numFmtId="0" fontId="56" fillId="3" borderId="18" xfId="0" applyFont="1" applyFill="1" applyBorder="1" applyAlignment="1">
      <alignment horizontal="center"/>
    </xf>
    <xf numFmtId="0" fontId="56" fillId="3" borderId="19" xfId="0" applyFont="1" applyFill="1" applyBorder="1" applyAlignment="1">
      <alignment horizontal="center"/>
    </xf>
    <xf numFmtId="0" fontId="55" fillId="7" borderId="0" xfId="0" applyFont="1" applyFill="1" applyBorder="1" applyAlignment="1">
      <alignment horizontal="center" wrapText="1"/>
    </xf>
    <xf numFmtId="0" fontId="56" fillId="7" borderId="0" xfId="0" applyFont="1" applyFill="1" applyBorder="1" applyAlignment="1">
      <alignment horizontal="center" wrapText="1"/>
    </xf>
    <xf numFmtId="0" fontId="55" fillId="9" borderId="0" xfId="0" applyFont="1" applyFill="1" applyBorder="1" applyAlignment="1">
      <alignment horizontal="center" wrapText="1"/>
    </xf>
    <xf numFmtId="0" fontId="0" fillId="0" borderId="0" xfId="0" applyAlignment="1">
      <alignment horizontal="center" wrapText="1"/>
    </xf>
    <xf numFmtId="0" fontId="42" fillId="0" borderId="27" xfId="0" applyFont="1" applyBorder="1" applyAlignment="1">
      <alignment horizontal="center"/>
    </xf>
    <xf numFmtId="0" fontId="22" fillId="0" borderId="2" xfId="0" applyFont="1" applyBorder="1" applyAlignment="1">
      <alignment horizontal="center"/>
    </xf>
    <xf numFmtId="0" fontId="42" fillId="0" borderId="2" xfId="0" applyFont="1" applyBorder="1" applyAlignment="1">
      <alignment horizontal="center"/>
    </xf>
    <xf numFmtId="0" fontId="42" fillId="0" borderId="49" xfId="0" applyFont="1" applyBorder="1" applyAlignment="1">
      <alignment horizontal="center"/>
    </xf>
    <xf numFmtId="0" fontId="0" fillId="0" borderId="2" xfId="0" applyBorder="1" applyAlignment="1"/>
    <xf numFmtId="0" fontId="42" fillId="0" borderId="9" xfId="0" applyFont="1" applyBorder="1" applyAlignment="1">
      <alignment horizontal="center"/>
    </xf>
    <xf numFmtId="0" fontId="40" fillId="0" borderId="2" xfId="0" applyFont="1" applyBorder="1" applyAlignment="1">
      <alignment horizontal="center"/>
    </xf>
    <xf numFmtId="0" fontId="0" fillId="0" borderId="2" xfId="0" applyBorder="1" applyAlignment="1">
      <alignment horizontal="center"/>
    </xf>
    <xf numFmtId="0" fontId="49" fillId="0" borderId="13" xfId="0" applyFont="1" applyBorder="1" applyAlignment="1">
      <alignment horizontal="left" textRotation="90"/>
    </xf>
    <xf numFmtId="0" fontId="49" fillId="0" borderId="38" xfId="0" applyFont="1" applyBorder="1" applyAlignment="1">
      <alignment horizontal="left" textRotation="90"/>
    </xf>
    <xf numFmtId="0" fontId="41" fillId="18" borderId="19" xfId="0" applyFont="1" applyFill="1" applyBorder="1" applyAlignment="1">
      <alignment horizontal="center" vertical="center" textRotation="90" wrapText="1"/>
    </xf>
    <xf numFmtId="0" fontId="31" fillId="18" borderId="21" xfId="0" applyFont="1" applyFill="1" applyBorder="1" applyAlignment="1">
      <alignment horizontal="center" vertical="center" textRotation="90" wrapText="1"/>
    </xf>
    <xf numFmtId="0" fontId="31" fillId="18" borderId="37" xfId="0" applyFont="1" applyFill="1" applyBorder="1" applyAlignment="1">
      <alignment horizontal="center" vertical="center" textRotation="90" wrapText="1"/>
    </xf>
    <xf numFmtId="0" fontId="41" fillId="18" borderId="99" xfId="0" applyFont="1" applyFill="1" applyBorder="1" applyAlignment="1">
      <alignment horizontal="center" vertical="center" textRotation="90" wrapText="1"/>
    </xf>
    <xf numFmtId="0" fontId="31" fillId="18" borderId="23" xfId="0" applyFont="1" applyFill="1" applyBorder="1" applyAlignment="1">
      <alignment horizontal="center" vertical="center" textRotation="90" wrapText="1"/>
    </xf>
    <xf numFmtId="0" fontId="49" fillId="0" borderId="14" xfId="0" applyFont="1" applyBorder="1" applyAlignment="1">
      <alignment horizontal="center" vertical="center" textRotation="90" wrapText="1"/>
    </xf>
    <xf numFmtId="0" fontId="49" fillId="0" borderId="38" xfId="0" applyFont="1" applyBorder="1" applyAlignment="1">
      <alignment horizontal="center" vertical="center" textRotation="90" wrapText="1"/>
    </xf>
    <xf numFmtId="0" fontId="49" fillId="18" borderId="13" xfId="0" applyFont="1" applyFill="1" applyBorder="1" applyAlignment="1">
      <alignment horizontal="center" vertical="center" textRotation="90" wrapText="1"/>
    </xf>
    <xf numFmtId="0" fontId="49" fillId="18" borderId="14" xfId="0" applyFont="1" applyFill="1" applyBorder="1" applyAlignment="1">
      <alignment horizontal="center" vertical="center" textRotation="90" wrapText="1"/>
    </xf>
    <xf numFmtId="0" fontId="49" fillId="0" borderId="13" xfId="0" applyFont="1" applyBorder="1" applyAlignment="1">
      <alignment horizontal="left" vertical="center" textRotation="90"/>
    </xf>
    <xf numFmtId="0" fontId="49" fillId="0" borderId="14" xfId="0" applyFont="1" applyBorder="1" applyAlignment="1">
      <alignment horizontal="left" vertical="center" textRotation="90"/>
    </xf>
    <xf numFmtId="0" fontId="49" fillId="0" borderId="38" xfId="0" applyFont="1" applyBorder="1" applyAlignment="1">
      <alignment horizontal="left" vertical="center" textRotation="90"/>
    </xf>
    <xf numFmtId="0" fontId="49" fillId="0" borderId="13" xfId="0" applyFont="1" applyBorder="1" applyAlignment="1">
      <alignment horizontal="center" vertical="center" textRotation="90" wrapText="1"/>
    </xf>
    <xf numFmtId="0" fontId="49" fillId="15" borderId="13" xfId="0" applyFont="1" applyFill="1" applyBorder="1" applyAlignment="1">
      <alignment horizontal="center" vertical="center" textRotation="90" wrapText="1"/>
    </xf>
    <xf numFmtId="0" fontId="49" fillId="15" borderId="14" xfId="0" applyFont="1" applyFill="1" applyBorder="1" applyAlignment="1">
      <alignment horizontal="center" vertical="center" textRotation="90" wrapText="1"/>
    </xf>
    <xf numFmtId="0" fontId="49" fillId="15" borderId="38" xfId="0" applyFont="1" applyFill="1" applyBorder="1" applyAlignment="1">
      <alignment horizontal="center" vertical="center" textRotation="90" wrapText="1"/>
    </xf>
    <xf numFmtId="0" fontId="49" fillId="18" borderId="38" xfId="0" applyFont="1" applyFill="1" applyBorder="1" applyAlignment="1">
      <alignment horizontal="center" vertical="center" textRotation="90" wrapText="1"/>
    </xf>
  </cellXfs>
  <cellStyles count="12">
    <cellStyle name="Comma" xfId="7" builtinId="3"/>
    <cellStyle name="Currency" xfId="1" builtinId="4"/>
    <cellStyle name="Currency 2" xfId="4"/>
    <cellStyle name="Currency 3" xfId="9"/>
    <cellStyle name="Hyperlink" xfId="6" builtinId="8"/>
    <cellStyle name="Normal" xfId="0" builtinId="0"/>
    <cellStyle name="Normal 2" xfId="3"/>
    <cellStyle name="Normal 3" xfId="8"/>
    <cellStyle name="Normal 4" xfId="11"/>
    <cellStyle name="Normal_Sheet2" xfId="10"/>
    <cellStyle name="Percent" xfId="2" builtinId="5"/>
    <cellStyle name="Percent 2" xfId="5"/>
  </cellStyles>
  <dxfs count="6">
    <dxf>
      <font>
        <color theme="0"/>
      </font>
      <fill>
        <patternFill>
          <bgColor rgb="FFFF0000"/>
        </patternFill>
      </fill>
    </dxf>
    <dxf>
      <font>
        <color theme="0"/>
      </font>
      <fill>
        <patternFill>
          <bgColor rgb="FFFF0000"/>
        </patternFill>
      </fill>
    </dxf>
    <dxf>
      <fill>
        <patternFill>
          <bgColor theme="1"/>
        </patternFill>
      </fill>
    </dxf>
    <dxf>
      <fill>
        <patternFill>
          <bgColor theme="1"/>
        </patternFill>
      </fill>
    </dxf>
    <dxf>
      <fill>
        <patternFill>
          <bgColor theme="1"/>
        </patternFill>
      </fill>
    </dxf>
    <dxf>
      <font>
        <color auto="1"/>
      </font>
      <fill>
        <patternFill>
          <bgColor theme="1"/>
        </patternFill>
      </fill>
    </dxf>
  </dxfs>
  <tableStyles count="0" defaultTableStyle="TableStyleMedium2" defaultPivotStyle="PivotStyleLight16"/>
  <colors>
    <mruColors>
      <color rgb="FFFFFF99"/>
      <color rgb="FFCCFFCC"/>
      <color rgb="FFB3AAA9"/>
      <color rgb="FFFFFF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
      <c:hPercent val="56"/>
      <c:rotY val="6"/>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0746857893187961"/>
          <c:y val="9.2503849567333957E-2"/>
          <c:w val="0.87839960150217511"/>
          <c:h val="0.8330583497621058"/>
        </c:manualLayout>
      </c:layout>
      <c:bar3DChart>
        <c:barDir val="col"/>
        <c:grouping val="stacked"/>
        <c:varyColors val="0"/>
        <c:ser>
          <c:idx val="0"/>
          <c:order val="0"/>
          <c:tx>
            <c:strRef>
              <c:f>CHART!$A$9</c:f>
              <c:strCache>
                <c:ptCount val="1"/>
                <c:pt idx="0">
                  <c:v>Hidden</c:v>
                </c:pt>
              </c:strCache>
            </c:strRef>
          </c:tx>
          <c:spPr>
            <a:noFill/>
            <a:ln w="25400">
              <a:noFill/>
            </a:ln>
          </c:spPr>
          <c:invertIfNegative val="0"/>
          <c:cat>
            <c:strRef>
              <c:f>CHART!$B$8:$F$8</c:f>
              <c:strCache>
                <c:ptCount val="5"/>
                <c:pt idx="0">
                  <c:v>Gross Pay          $0.00</c:v>
                </c:pt>
                <c:pt idx="1">
                  <c:v>PreTax Deductions</c:v>
                </c:pt>
                <c:pt idx="2">
                  <c:v>Taxes</c:v>
                </c:pt>
                <c:pt idx="3">
                  <c:v>PostTax Deductions</c:v>
                </c:pt>
                <c:pt idx="4">
                  <c:v>Net Pay $0.00</c:v>
                </c:pt>
              </c:strCache>
            </c:strRef>
          </c:cat>
          <c:val>
            <c:numRef>
              <c:f>CHART!$B$9:$F$9</c:f>
              <c:numCache>
                <c:formatCode>_(* #,##0.00_);_(* \(#,##0.00\);_(* "-"??_);_(@_)</c:formatCode>
                <c:ptCount val="5"/>
                <c:pt idx="1">
                  <c:v>0</c:v>
                </c:pt>
                <c:pt idx="2">
                  <c:v>0</c:v>
                </c:pt>
                <c:pt idx="3">
                  <c:v>0</c:v>
                </c:pt>
              </c:numCache>
            </c:numRef>
          </c:val>
          <c:extLst>
            <c:ext xmlns:c16="http://schemas.microsoft.com/office/drawing/2014/chart" uri="{C3380CC4-5D6E-409C-BE32-E72D297353CC}">
              <c16:uniqueId val="{00000000-710B-446D-AE74-AB7EFACE5169}"/>
            </c:ext>
          </c:extLst>
        </c:ser>
        <c:ser>
          <c:idx val="2"/>
          <c:order val="1"/>
          <c:tx>
            <c:strRef>
              <c:f>CHART!$A$10</c:f>
              <c:strCache>
                <c:ptCount val="1"/>
                <c:pt idx="0">
                  <c:v>Reimbursement</c:v>
                </c:pt>
              </c:strCache>
            </c:strRef>
          </c:tx>
          <c:spPr>
            <a:solidFill>
              <a:schemeClr val="accent3">
                <a:lumMod val="60000"/>
                <a:lumOff val="40000"/>
              </a:schemeClr>
            </a:solidFill>
          </c:spPr>
          <c:invertIfNegative val="0"/>
          <c:dPt>
            <c:idx val="4"/>
            <c:invertIfNegative val="0"/>
            <c:bubble3D val="0"/>
            <c:spPr>
              <a:solidFill>
                <a:schemeClr val="accent3">
                  <a:lumMod val="60000"/>
                  <a:lumOff val="40000"/>
                </a:schemeClr>
              </a:solidFill>
              <a:ln w="12700">
                <a:solidFill>
                  <a:srgbClr val="000000"/>
                </a:solidFill>
              </a:ln>
            </c:spPr>
            <c:extLst>
              <c:ext xmlns:c16="http://schemas.microsoft.com/office/drawing/2014/chart" uri="{C3380CC4-5D6E-409C-BE32-E72D297353CC}">
                <c16:uniqueId val="{00000002-710B-446D-AE74-AB7EFACE5169}"/>
              </c:ext>
            </c:extLst>
          </c:dPt>
          <c:dLbls>
            <c:spPr>
              <a:noFill/>
              <a:ln>
                <a:noFill/>
              </a:ln>
              <a:effectLst/>
            </c:spPr>
            <c:txPr>
              <a:bodyPr/>
              <a:lstStyle/>
              <a:p>
                <a:pPr algn="ctr">
                  <a:defRPr lang="en-US" sz="14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CHART!$B$8:$F$8</c:f>
              <c:strCache>
                <c:ptCount val="5"/>
                <c:pt idx="0">
                  <c:v>Gross Pay          $0.00</c:v>
                </c:pt>
                <c:pt idx="1">
                  <c:v>PreTax Deductions</c:v>
                </c:pt>
                <c:pt idx="2">
                  <c:v>Taxes</c:v>
                </c:pt>
                <c:pt idx="3">
                  <c:v>PostTax Deductions</c:v>
                </c:pt>
                <c:pt idx="4">
                  <c:v>Net Pay $0.00</c:v>
                </c:pt>
              </c:strCache>
            </c:strRef>
          </c:cat>
          <c:val>
            <c:numRef>
              <c:f>CHART!$B$10:$F$10</c:f>
              <c:numCache>
                <c:formatCode>_(* #,##0.00_);_(* \(#,##0.00\);_(* "-"??_);_(@_)</c:formatCode>
                <c:ptCount val="5"/>
                <c:pt idx="0">
                  <c:v>0</c:v>
                </c:pt>
                <c:pt idx="4">
                  <c:v>0</c:v>
                </c:pt>
              </c:numCache>
            </c:numRef>
          </c:val>
          <c:extLst>
            <c:ext xmlns:c16="http://schemas.microsoft.com/office/drawing/2014/chart" uri="{C3380CC4-5D6E-409C-BE32-E72D297353CC}">
              <c16:uniqueId val="{00000003-710B-446D-AE74-AB7EFACE5169}"/>
            </c:ext>
          </c:extLst>
        </c:ser>
        <c:ser>
          <c:idx val="1"/>
          <c:order val="2"/>
          <c:tx>
            <c:strRef>
              <c:f>CHART!$A$11</c:f>
              <c:strCache>
                <c:ptCount val="1"/>
                <c:pt idx="0">
                  <c:v>Earnings</c:v>
                </c:pt>
              </c:strCache>
            </c:strRef>
          </c:tx>
          <c:spPr>
            <a:solidFill>
              <a:schemeClr val="accent5">
                <a:lumMod val="60000"/>
                <a:lumOff val="40000"/>
              </a:schemeClr>
            </a:solidFill>
            <a:ln w="12700">
              <a:solidFill>
                <a:srgbClr val="000000"/>
              </a:solidFill>
              <a:prstDash val="solid"/>
            </a:ln>
            <a:effectLst>
              <a:outerShdw blurRad="127000" dist="50800" dir="15960000" algn="ctr" rotWithShape="0">
                <a:srgbClr val="000000">
                  <a:alpha val="43137"/>
                </a:srgbClr>
              </a:outerShdw>
            </a:effectLst>
          </c:spPr>
          <c:invertIfNegative val="0"/>
          <c:dLbls>
            <c:spPr>
              <a:noFill/>
              <a:ln w="25400">
                <a:noFill/>
              </a:ln>
            </c:spPr>
            <c:txPr>
              <a:bodyPr/>
              <a:lstStyle/>
              <a:p>
                <a:pPr>
                  <a:defRPr sz="14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CHART!$B$8:$F$8</c:f>
              <c:strCache>
                <c:ptCount val="5"/>
                <c:pt idx="0">
                  <c:v>Gross Pay          $0.00</c:v>
                </c:pt>
                <c:pt idx="1">
                  <c:v>PreTax Deductions</c:v>
                </c:pt>
                <c:pt idx="2">
                  <c:v>Taxes</c:v>
                </c:pt>
                <c:pt idx="3">
                  <c:v>PostTax Deductions</c:v>
                </c:pt>
                <c:pt idx="4">
                  <c:v>Net Pay $0.00</c:v>
                </c:pt>
              </c:strCache>
            </c:strRef>
          </c:cat>
          <c:val>
            <c:numRef>
              <c:f>CHART!$B$11:$F$11</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4-710B-446D-AE74-AB7EFACE5169}"/>
            </c:ext>
          </c:extLst>
        </c:ser>
        <c:dLbls>
          <c:showLegendKey val="0"/>
          <c:showVal val="0"/>
          <c:showCatName val="0"/>
          <c:showSerName val="0"/>
          <c:showPercent val="0"/>
          <c:showBubbleSize val="0"/>
        </c:dLbls>
        <c:gapWidth val="0"/>
        <c:shape val="box"/>
        <c:axId val="205407744"/>
        <c:axId val="205409280"/>
        <c:axId val="0"/>
      </c:bar3DChart>
      <c:catAx>
        <c:axId val="205407744"/>
        <c:scaling>
          <c:orientation val="minMax"/>
        </c:scaling>
        <c:delete val="0"/>
        <c:axPos val="b"/>
        <c:numFmt formatCode="General" sourceLinked="1"/>
        <c:majorTickMark val="out"/>
        <c:minorTickMark val="none"/>
        <c:tickLblPos val="high"/>
        <c:spPr>
          <a:ln w="3175">
            <a:solidFill>
              <a:srgbClr val="000000"/>
            </a:solidFill>
            <a:prstDash val="solid"/>
          </a:ln>
        </c:spPr>
        <c:txPr>
          <a:bodyPr rot="0" vert="horz" anchor="b" anchorCtr="1"/>
          <a:lstStyle/>
          <a:p>
            <a:pPr>
              <a:defRPr sz="1600" b="0" i="0" u="none" strike="noStrike" baseline="0">
                <a:solidFill>
                  <a:srgbClr val="000000"/>
                </a:solidFill>
                <a:latin typeface="Arial"/>
                <a:ea typeface="Arial"/>
                <a:cs typeface="Arial"/>
              </a:defRPr>
            </a:pPr>
            <a:endParaRPr lang="en-US"/>
          </a:p>
        </c:txPr>
        <c:crossAx val="205409280"/>
        <c:crosses val="autoZero"/>
        <c:auto val="1"/>
        <c:lblAlgn val="ctr"/>
        <c:lblOffset val="100"/>
        <c:tickLblSkip val="1"/>
        <c:tickMarkSkip val="1"/>
        <c:noMultiLvlLbl val="0"/>
      </c:catAx>
      <c:valAx>
        <c:axId val="2054092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n-US"/>
          </a:p>
        </c:txPr>
        <c:crossAx val="205407744"/>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16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66674</xdr:colOff>
      <xdr:row>1</xdr:row>
      <xdr:rowOff>139700</xdr:rowOff>
    </xdr:from>
    <xdr:to>
      <xdr:col>6</xdr:col>
      <xdr:colOff>50800</xdr:colOff>
      <xdr:row>30</xdr:row>
      <xdr:rowOff>63499</xdr:rowOff>
    </xdr:to>
    <xdr:graphicFrame macro="">
      <xdr:nvGraphicFramePr>
        <xdr:cNvPr id="2" name="Chart 57">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0</xdr:colOff>
      <xdr:row>1</xdr:row>
      <xdr:rowOff>0</xdr:rowOff>
    </xdr:from>
    <xdr:to>
      <xdr:col>30</xdr:col>
      <xdr:colOff>66675</xdr:colOff>
      <xdr:row>2</xdr:row>
      <xdr:rowOff>9525</xdr:rowOff>
    </xdr:to>
    <xdr:sp macro="" textlink="">
      <xdr:nvSpPr>
        <xdr:cNvPr id="2" name="Text Box 30">
          <a:extLst>
            <a:ext uri="{FF2B5EF4-FFF2-40B4-BE49-F238E27FC236}">
              <a16:creationId xmlns:a16="http://schemas.microsoft.com/office/drawing/2014/main" id="{00000000-0008-0000-0500-000002000000}"/>
            </a:ext>
          </a:extLst>
        </xdr:cNvPr>
        <xdr:cNvSpPr txBox="1">
          <a:spLocks noChangeArrowheads="1"/>
        </xdr:cNvSpPr>
      </xdr:nvSpPr>
      <xdr:spPr bwMode="auto">
        <a:xfrm>
          <a:off x="10144125" y="257175"/>
          <a:ext cx="666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0</xdr:rowOff>
    </xdr:from>
    <xdr:to>
      <xdr:col>12</xdr:col>
      <xdr:colOff>0</xdr:colOff>
      <xdr:row>50</xdr:row>
      <xdr:rowOff>0</xdr:rowOff>
    </xdr:to>
    <xdr:sp macro="" textlink="">
      <xdr:nvSpPr>
        <xdr:cNvPr id="3" name="Rectangle 51">
          <a:extLst>
            <a:ext uri="{FF2B5EF4-FFF2-40B4-BE49-F238E27FC236}">
              <a16:creationId xmlns:a16="http://schemas.microsoft.com/office/drawing/2014/main" id="{00000000-0008-0000-0500-000003000000}"/>
            </a:ext>
          </a:extLst>
        </xdr:cNvPr>
        <xdr:cNvSpPr>
          <a:spLocks noChangeArrowheads="1"/>
        </xdr:cNvSpPr>
      </xdr:nvSpPr>
      <xdr:spPr bwMode="auto">
        <a:xfrm>
          <a:off x="85725" y="571500"/>
          <a:ext cx="6076950" cy="5334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140</xdr:row>
      <xdr:rowOff>0</xdr:rowOff>
    </xdr:from>
    <xdr:to>
      <xdr:col>12</xdr:col>
      <xdr:colOff>0</xdr:colOff>
      <xdr:row>153</xdr:row>
      <xdr:rowOff>0</xdr:rowOff>
    </xdr:to>
    <xdr:sp macro="" textlink="">
      <xdr:nvSpPr>
        <xdr:cNvPr id="4" name="Rectangle 58">
          <a:extLst>
            <a:ext uri="{FF2B5EF4-FFF2-40B4-BE49-F238E27FC236}">
              <a16:creationId xmlns:a16="http://schemas.microsoft.com/office/drawing/2014/main" id="{00000000-0008-0000-0500-000004000000}"/>
            </a:ext>
          </a:extLst>
        </xdr:cNvPr>
        <xdr:cNvSpPr>
          <a:spLocks noChangeArrowheads="1"/>
        </xdr:cNvSpPr>
      </xdr:nvSpPr>
      <xdr:spPr bwMode="auto">
        <a:xfrm>
          <a:off x="85725" y="6076950"/>
          <a:ext cx="6076950" cy="22383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154</xdr:row>
      <xdr:rowOff>0</xdr:rowOff>
    </xdr:from>
    <xdr:to>
      <xdr:col>12</xdr:col>
      <xdr:colOff>0</xdr:colOff>
      <xdr:row>164</xdr:row>
      <xdr:rowOff>0</xdr:rowOff>
    </xdr:to>
    <xdr:sp macro="" textlink="">
      <xdr:nvSpPr>
        <xdr:cNvPr id="5" name="Rectangle 59">
          <a:extLst>
            <a:ext uri="{FF2B5EF4-FFF2-40B4-BE49-F238E27FC236}">
              <a16:creationId xmlns:a16="http://schemas.microsoft.com/office/drawing/2014/main" id="{00000000-0008-0000-0500-000005000000}"/>
            </a:ext>
          </a:extLst>
        </xdr:cNvPr>
        <xdr:cNvSpPr>
          <a:spLocks noChangeArrowheads="1"/>
        </xdr:cNvSpPr>
      </xdr:nvSpPr>
      <xdr:spPr bwMode="auto">
        <a:xfrm>
          <a:off x="85725" y="8477250"/>
          <a:ext cx="6076950" cy="1714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19050</xdr:colOff>
      <xdr:row>164</xdr:row>
      <xdr:rowOff>133350</xdr:rowOff>
    </xdr:from>
    <xdr:to>
      <xdr:col>12</xdr:col>
      <xdr:colOff>0</xdr:colOff>
      <xdr:row>171</xdr:row>
      <xdr:rowOff>85725</xdr:rowOff>
    </xdr:to>
    <xdr:sp macro="" textlink="">
      <xdr:nvSpPr>
        <xdr:cNvPr id="8" name="Rectangle 115">
          <a:extLst>
            <a:ext uri="{FF2B5EF4-FFF2-40B4-BE49-F238E27FC236}">
              <a16:creationId xmlns:a16="http://schemas.microsoft.com/office/drawing/2014/main" id="{00000000-0008-0000-0500-000008000000}"/>
            </a:ext>
          </a:extLst>
        </xdr:cNvPr>
        <xdr:cNvSpPr>
          <a:spLocks noChangeArrowheads="1"/>
        </xdr:cNvSpPr>
      </xdr:nvSpPr>
      <xdr:spPr bwMode="auto">
        <a:xfrm>
          <a:off x="104775" y="10325100"/>
          <a:ext cx="6057900" cy="1104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3</xdr:row>
      <xdr:rowOff>0</xdr:rowOff>
    </xdr:from>
    <xdr:to>
      <xdr:col>12</xdr:col>
      <xdr:colOff>0</xdr:colOff>
      <xdr:row>50</xdr:row>
      <xdr:rowOff>0</xdr:rowOff>
    </xdr:to>
    <xdr:sp macro="" textlink="">
      <xdr:nvSpPr>
        <xdr:cNvPr id="9" name="Rectangle 51">
          <a:extLst>
            <a:ext uri="{FF2B5EF4-FFF2-40B4-BE49-F238E27FC236}">
              <a16:creationId xmlns:a16="http://schemas.microsoft.com/office/drawing/2014/main" id="{00000000-0008-0000-0500-000009000000}"/>
            </a:ext>
          </a:extLst>
        </xdr:cNvPr>
        <xdr:cNvSpPr>
          <a:spLocks noChangeArrowheads="1"/>
        </xdr:cNvSpPr>
      </xdr:nvSpPr>
      <xdr:spPr bwMode="auto">
        <a:xfrm>
          <a:off x="85725" y="152400"/>
          <a:ext cx="6076950" cy="5172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xdr:colOff>
      <xdr:row>1</xdr:row>
      <xdr:rowOff>72448</xdr:rowOff>
    </xdr:from>
    <xdr:to>
      <xdr:col>17</xdr:col>
      <xdr:colOff>400049</xdr:colOff>
      <xdr:row>41</xdr:row>
      <xdr:rowOff>0</xdr:rowOff>
    </xdr:to>
    <xdr:sp macro="" textlink="">
      <xdr:nvSpPr>
        <xdr:cNvPr id="2" name="Rectangle 1">
          <a:extLst>
            <a:ext uri="{FF2B5EF4-FFF2-40B4-BE49-F238E27FC236}">
              <a16:creationId xmlns:a16="http://schemas.microsoft.com/office/drawing/2014/main" id="{6210FBE2-86EE-4B9B-AC5D-C2D94CCF22C3}"/>
            </a:ext>
          </a:extLst>
        </xdr:cNvPr>
        <xdr:cNvSpPr/>
      </xdr:nvSpPr>
      <xdr:spPr>
        <a:xfrm>
          <a:off x="3952874" y="367723"/>
          <a:ext cx="5524500" cy="8414327"/>
        </a:xfrm>
        <a:prstGeom prst="rect">
          <a:avLst/>
        </a:prstGeom>
        <a:noFill/>
        <a:ln w="19050">
          <a:solidFill>
            <a:schemeClr val="tx1"/>
          </a:solidFill>
        </a:ln>
        <a:effectLst>
          <a:outerShdw blurRad="50800" dist="127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R0R038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sa.gov/oact/ProgData/taxRates.html" TargetMode="External"/><Relationship Id="rId13" Type="http://schemas.openxmlformats.org/officeDocument/2006/relationships/printerSettings" Target="../printerSettings/printerSettings6.bin"/><Relationship Id="rId3" Type="http://schemas.openxmlformats.org/officeDocument/2006/relationships/hyperlink" Target="http://www.ssa.gov/oact/ProgData/oasdiRates.html" TargetMode="External"/><Relationship Id="rId7" Type="http://schemas.openxmlformats.org/officeDocument/2006/relationships/hyperlink" Target="http://www.ssa.gov/oact/ProgData/taxRates.html" TargetMode="External"/><Relationship Id="rId12" Type="http://schemas.openxmlformats.org/officeDocument/2006/relationships/hyperlink" Target="http://www.ssa.gov/oact/COLA/cbbdet.html" TargetMode="External"/><Relationship Id="rId2" Type="http://schemas.openxmlformats.org/officeDocument/2006/relationships/hyperlink" Target="http://www.ssa.gov/oact/ProgData/oasdiRates.html" TargetMode="External"/><Relationship Id="rId1" Type="http://schemas.openxmlformats.org/officeDocument/2006/relationships/hyperlink" Target="http://www.dol.gov/dol/topic/wages/minimumwage.htm" TargetMode="External"/><Relationship Id="rId6" Type="http://schemas.openxmlformats.org/officeDocument/2006/relationships/hyperlink" Target="http://www.azdor.gov/Business/WithholdingTax.aspx" TargetMode="External"/><Relationship Id="rId11" Type="http://schemas.openxmlformats.org/officeDocument/2006/relationships/hyperlink" Target="http://www.ica.state.az.us/Labor/Labor_MinWag_main.aspx" TargetMode="External"/><Relationship Id="rId5" Type="http://schemas.openxmlformats.org/officeDocument/2006/relationships/hyperlink" Target="http://www.ssa.gov/oact/ProgData/taxRates.html" TargetMode="External"/><Relationship Id="rId10" Type="http://schemas.openxmlformats.org/officeDocument/2006/relationships/hyperlink" Target="http://www.irs.gov/app/picklist/list/publicationsNoticesPdf.html?value=15&amp;criteria=formNumber&amp;submitSearch=Find" TargetMode="External"/><Relationship Id="rId4" Type="http://schemas.openxmlformats.org/officeDocument/2006/relationships/hyperlink" Target="http://www.ssa.gov/oact/ProgData/taxRates.html" TargetMode="External"/><Relationship Id="rId9" Type="http://schemas.openxmlformats.org/officeDocument/2006/relationships/hyperlink" Target="http://www.ssa.gov/oact/ProgData/taxRates.html" TargetMode="External"/><Relationship Id="rId1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outlinePr summaryBelow="0"/>
    <pageSetUpPr fitToPage="1"/>
  </sheetPr>
  <dimension ref="A1:AD98"/>
  <sheetViews>
    <sheetView tabSelected="1" zoomScale="85" zoomScaleNormal="85" workbookViewId="0">
      <pane ySplit="7" topLeftCell="A23" activePane="bottomLeft" state="frozen"/>
      <selection activeCell="G34" sqref="G34"/>
      <selection pane="bottomLeft" activeCell="N6" sqref="N6"/>
    </sheetView>
  </sheetViews>
  <sheetFormatPr defaultRowHeight="15" outlineLevelRow="1" outlineLevelCol="1" x14ac:dyDescent="0.25"/>
  <cols>
    <col min="1" max="1" width="1.7109375" customWidth="1"/>
    <col min="2" max="2" width="1.28515625" customWidth="1"/>
    <col min="3" max="3" width="3.140625" customWidth="1"/>
    <col min="4" max="4" width="4.7109375" customWidth="1"/>
    <col min="5" max="5" width="12.7109375" customWidth="1"/>
    <col min="6" max="6" width="6.5703125" customWidth="1"/>
    <col min="7" max="7" width="8.85546875" customWidth="1"/>
    <col min="8" max="8" width="12.7109375" customWidth="1"/>
    <col min="9" max="9" width="11.28515625" customWidth="1"/>
    <col min="10" max="10" width="9.5703125" hidden="1" customWidth="1" outlineLevel="1"/>
    <col min="11" max="11" width="12.28515625" customWidth="1" collapsed="1"/>
    <col min="12" max="12" width="6.7109375" hidden="1" customWidth="1" outlineLevel="1"/>
    <col min="13" max="13" width="9.42578125" hidden="1" customWidth="1" outlineLevel="1"/>
    <col min="14" max="14" width="10" customWidth="1" collapsed="1"/>
    <col min="15" max="15" width="12.42578125" hidden="1" customWidth="1" outlineLevel="1"/>
    <col min="16" max="16" width="11.140625" hidden="1" customWidth="1" outlineLevel="1"/>
    <col min="17" max="17" width="11" hidden="1" customWidth="1" outlineLevel="1"/>
    <col min="18" max="18" width="11.140625" customWidth="1" collapsed="1"/>
    <col min="19" max="19" width="10.85546875" customWidth="1"/>
    <col min="20" max="20" width="0.7109375" customWidth="1" outlineLevel="1"/>
    <col min="21" max="21" width="11.85546875" customWidth="1"/>
    <col min="22" max="22" width="12.5703125" customWidth="1"/>
    <col min="23" max="23" width="9.42578125" customWidth="1"/>
    <col min="24" max="24" width="13" customWidth="1"/>
    <col min="25" max="25" width="15.7109375" customWidth="1"/>
    <col min="26" max="26" width="15.140625" customWidth="1"/>
    <col min="27" max="27" width="14.5703125" customWidth="1"/>
    <col min="28" max="28" width="4.28515625" customWidth="1"/>
    <col min="29" max="29" width="0.85546875" customWidth="1"/>
    <col min="30" max="30" width="2.85546875" customWidth="1"/>
  </cols>
  <sheetData>
    <row r="1" spans="1:30"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row>
    <row r="2" spans="1:30" ht="5.0999999999999996" customHeight="1" thickBot="1" x14ac:dyDescent="0.3">
      <c r="A2" s="74"/>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x14ac:dyDescent="0.25">
      <c r="A3" s="74"/>
      <c r="B3" s="73"/>
      <c r="C3" s="75"/>
      <c r="D3" s="76"/>
      <c r="E3" s="76"/>
      <c r="F3" s="76"/>
      <c r="G3" s="76"/>
      <c r="H3" s="76"/>
      <c r="I3" s="76"/>
      <c r="J3" s="76"/>
      <c r="K3" s="76"/>
      <c r="L3" s="76"/>
      <c r="M3" s="76"/>
      <c r="N3" s="76"/>
      <c r="O3" s="76"/>
      <c r="P3" s="76"/>
      <c r="Q3" s="76"/>
      <c r="R3" s="76"/>
      <c r="S3" s="76"/>
      <c r="T3" s="76"/>
      <c r="U3" s="76"/>
      <c r="V3" s="76"/>
      <c r="W3" s="76"/>
      <c r="X3" s="76"/>
      <c r="Y3" s="76"/>
      <c r="Z3" s="76"/>
      <c r="AA3" s="76"/>
      <c r="AB3" s="77"/>
      <c r="AC3" s="73"/>
      <c r="AD3" s="74"/>
    </row>
    <row r="4" spans="1:30" ht="24" thickBot="1" x14ac:dyDescent="0.4">
      <c r="A4" s="74"/>
      <c r="B4" s="73"/>
      <c r="C4" s="78"/>
      <c r="D4" s="696" t="s">
        <v>548</v>
      </c>
      <c r="E4" s="80"/>
      <c r="F4" s="80"/>
      <c r="G4" s="80"/>
      <c r="H4" s="80"/>
      <c r="I4" s="80"/>
      <c r="J4" s="80"/>
      <c r="K4" s="80"/>
      <c r="L4" s="80"/>
      <c r="M4" s="80"/>
      <c r="N4" s="80"/>
      <c r="O4" s="80"/>
      <c r="P4" s="80"/>
      <c r="Q4" s="80"/>
      <c r="R4" s="80"/>
      <c r="S4" s="271"/>
      <c r="T4" s="80"/>
      <c r="U4" s="80"/>
      <c r="V4" s="80"/>
      <c r="W4" s="80"/>
      <c r="X4" s="80"/>
      <c r="Y4" s="80"/>
      <c r="Z4" s="246"/>
      <c r="AA4" s="281" t="s">
        <v>549</v>
      </c>
      <c r="AB4" s="81"/>
      <c r="AC4" s="73"/>
      <c r="AD4" s="74"/>
    </row>
    <row r="5" spans="1:30" ht="36.75" customHeight="1" thickBot="1" x14ac:dyDescent="0.3">
      <c r="A5" s="74"/>
      <c r="B5" s="73"/>
      <c r="C5" s="78"/>
      <c r="D5" s="152" t="s">
        <v>246</v>
      </c>
      <c r="E5" s="80"/>
      <c r="F5" s="80"/>
      <c r="G5" s="80"/>
      <c r="H5" s="80"/>
      <c r="I5" s="80"/>
      <c r="J5" s="80"/>
      <c r="K5" s="80"/>
      <c r="L5" s="80"/>
      <c r="M5" s="80"/>
      <c r="N5" s="152" t="s">
        <v>551</v>
      </c>
      <c r="O5" s="80"/>
      <c r="P5" s="80"/>
      <c r="Q5" s="80"/>
      <c r="R5" s="80"/>
      <c r="S5" s="80"/>
      <c r="T5" s="80"/>
      <c r="U5" s="245" t="s">
        <v>283</v>
      </c>
      <c r="V5" s="248">
        <v>1</v>
      </c>
      <c r="W5" s="242" t="str">
        <f>IF($V$5=1,"1st pay of month",IF($V$5=2,"2nd pay of month",IF($V$5=3,"3rd pay of month",IF($V$5=5,"Handwrite","1st pay of month"))))</f>
        <v>1st pay of month</v>
      </c>
      <c r="X5" s="243" t="s">
        <v>286</v>
      </c>
      <c r="Y5" s="244">
        <f>AA88</f>
        <v>0</v>
      </c>
      <c r="Z5" s="702" t="s">
        <v>284</v>
      </c>
      <c r="AA5" s="702" t="s">
        <v>285</v>
      </c>
      <c r="AB5" s="81"/>
      <c r="AC5" s="73"/>
      <c r="AD5" s="74"/>
    </row>
    <row r="6" spans="1:30" ht="20.100000000000001" customHeight="1" thickTop="1" thickBot="1" x14ac:dyDescent="0.3">
      <c r="A6" s="74"/>
      <c r="B6" s="73"/>
      <c r="C6" s="78"/>
      <c r="D6" s="80" t="s">
        <v>146</v>
      </c>
      <c r="E6" s="700"/>
      <c r="F6" s="701"/>
      <c r="G6" s="90" t="s">
        <v>147</v>
      </c>
      <c r="H6" s="700"/>
      <c r="I6" s="701"/>
      <c r="J6" s="80"/>
      <c r="K6" s="80"/>
      <c r="L6" s="80"/>
      <c r="M6" s="80"/>
      <c r="N6" s="80"/>
      <c r="O6" s="80"/>
      <c r="P6" s="80"/>
      <c r="Q6" s="80"/>
      <c r="R6" s="80"/>
      <c r="S6" s="80"/>
      <c r="T6" s="80"/>
      <c r="U6" s="80"/>
      <c r="V6" s="80"/>
      <c r="W6" s="80"/>
      <c r="X6" s="80"/>
      <c r="Y6" s="80"/>
      <c r="Z6" s="703"/>
      <c r="AA6" s="703"/>
      <c r="AB6" s="81"/>
      <c r="AC6" s="73"/>
      <c r="AD6" s="74"/>
    </row>
    <row r="7" spans="1:30" ht="29.25" customHeight="1" thickBot="1" x14ac:dyDescent="0.3">
      <c r="A7" s="74"/>
      <c r="B7" s="73"/>
      <c r="C7" s="78"/>
      <c r="D7" s="99" t="s">
        <v>9</v>
      </c>
      <c r="E7" s="99"/>
      <c r="F7" s="97"/>
      <c r="G7" s="97"/>
      <c r="H7" s="97"/>
      <c r="I7" s="97"/>
      <c r="J7" s="97"/>
      <c r="K7" s="97"/>
      <c r="L7" s="97"/>
      <c r="M7" s="97"/>
      <c r="N7" s="97"/>
      <c r="O7" s="97"/>
      <c r="P7" s="97"/>
      <c r="Q7" s="97"/>
      <c r="R7" s="97"/>
      <c r="S7" s="97"/>
      <c r="T7" s="97"/>
      <c r="U7" s="97"/>
      <c r="V7" s="234" t="s">
        <v>35</v>
      </c>
      <c r="W7" s="235" t="s">
        <v>135</v>
      </c>
      <c r="X7" s="233" t="s">
        <v>250</v>
      </c>
      <c r="Y7" s="232" t="s">
        <v>251</v>
      </c>
      <c r="Z7" s="704"/>
      <c r="AA7" s="704"/>
      <c r="AB7" s="81"/>
      <c r="AC7" s="73"/>
      <c r="AD7" s="74"/>
    </row>
    <row r="8" spans="1:30" x14ac:dyDescent="0.25">
      <c r="A8" s="74"/>
      <c r="B8" s="73"/>
      <c r="C8" s="78"/>
      <c r="D8" s="80"/>
      <c r="E8" s="165" t="s">
        <v>243</v>
      </c>
      <c r="F8" s="166"/>
      <c r="G8" s="166"/>
      <c r="H8" s="166"/>
      <c r="I8" s="166"/>
      <c r="J8" s="166"/>
      <c r="K8" s="166"/>
      <c r="L8" s="166"/>
      <c r="M8" s="166"/>
      <c r="N8" s="166"/>
      <c r="O8" s="166"/>
      <c r="P8" s="166"/>
      <c r="Q8" s="166"/>
      <c r="R8" s="166"/>
      <c r="S8" s="166"/>
      <c r="T8" s="166"/>
      <c r="U8" s="167"/>
      <c r="V8" s="249">
        <v>0</v>
      </c>
      <c r="W8" s="250">
        <v>80</v>
      </c>
      <c r="X8" s="251">
        <v>0</v>
      </c>
      <c r="Y8" s="273">
        <f>ROUND(($V8*$W8)+$X8,2)</f>
        <v>0</v>
      </c>
      <c r="Z8" s="274">
        <f>$Y8</f>
        <v>0</v>
      </c>
      <c r="AA8" s="275">
        <f>$Z8</f>
        <v>0</v>
      </c>
      <c r="AB8" s="81"/>
      <c r="AC8" s="73"/>
      <c r="AD8" s="74"/>
    </row>
    <row r="9" spans="1:30" x14ac:dyDescent="0.25">
      <c r="A9" s="74"/>
      <c r="B9" s="73"/>
      <c r="C9" s="78"/>
      <c r="D9" s="80"/>
      <c r="E9" s="165" t="s">
        <v>244</v>
      </c>
      <c r="F9" s="166"/>
      <c r="G9" s="166"/>
      <c r="H9" s="166"/>
      <c r="I9" s="166"/>
      <c r="J9" s="166"/>
      <c r="K9" s="166"/>
      <c r="L9" s="166"/>
      <c r="M9" s="166"/>
      <c r="N9" s="166"/>
      <c r="O9" s="166"/>
      <c r="P9" s="166"/>
      <c r="Q9" s="166"/>
      <c r="R9" s="166"/>
      <c r="S9" s="166"/>
      <c r="T9" s="166"/>
      <c r="U9" s="167"/>
      <c r="V9" s="252">
        <v>1.5</v>
      </c>
      <c r="W9" s="253">
        <v>0</v>
      </c>
      <c r="X9" s="254">
        <v>0</v>
      </c>
      <c r="Y9" s="273">
        <f>ROUND((($V$8*$W9*$V$9)+$X9),2)</f>
        <v>0</v>
      </c>
      <c r="Z9" s="274">
        <f t="shared" ref="Z9:Z26" si="0">$Y9</f>
        <v>0</v>
      </c>
      <c r="AA9" s="275">
        <f t="shared" ref="AA9:AA26" si="1">$Z9</f>
        <v>0</v>
      </c>
      <c r="AB9" s="81"/>
      <c r="AC9" s="73"/>
      <c r="AD9" s="74"/>
    </row>
    <row r="10" spans="1:30" x14ac:dyDescent="0.25">
      <c r="A10" s="74"/>
      <c r="B10" s="73"/>
      <c r="C10" s="78"/>
      <c r="D10" s="80"/>
      <c r="E10" s="165" t="s">
        <v>247</v>
      </c>
      <c r="F10" s="166"/>
      <c r="G10" s="166"/>
      <c r="H10" s="166"/>
      <c r="I10" s="166"/>
      <c r="J10" s="166"/>
      <c r="K10" s="166"/>
      <c r="L10" s="166"/>
      <c r="M10" s="166"/>
      <c r="N10" s="166"/>
      <c r="O10" s="166"/>
      <c r="P10" s="166"/>
      <c r="Q10" s="166"/>
      <c r="R10" s="166"/>
      <c r="S10" s="166"/>
      <c r="T10" s="166"/>
      <c r="U10" s="167"/>
      <c r="V10" s="255">
        <v>0.05</v>
      </c>
      <c r="W10" s="253">
        <v>0</v>
      </c>
      <c r="X10" s="254">
        <v>0</v>
      </c>
      <c r="Y10" s="275">
        <f>ROUND((($V$8*$V10*$W10)+$X10),2)</f>
        <v>0</v>
      </c>
      <c r="Z10" s="274">
        <f t="shared" si="0"/>
        <v>0</v>
      </c>
      <c r="AA10" s="275">
        <f t="shared" si="1"/>
        <v>0</v>
      </c>
      <c r="AB10" s="81"/>
      <c r="AC10" s="73"/>
      <c r="AD10" s="74"/>
    </row>
    <row r="11" spans="1:30" x14ac:dyDescent="0.25">
      <c r="A11" s="74"/>
      <c r="B11" s="73"/>
      <c r="C11" s="78"/>
      <c r="D11" s="80"/>
      <c r="E11" s="165" t="s">
        <v>248</v>
      </c>
      <c r="F11" s="166"/>
      <c r="G11" s="166"/>
      <c r="H11" s="166"/>
      <c r="I11" s="166"/>
      <c r="J11" s="166"/>
      <c r="K11" s="166"/>
      <c r="L11" s="166"/>
      <c r="M11" s="166"/>
      <c r="N11" s="166"/>
      <c r="O11" s="166"/>
      <c r="P11" s="166"/>
      <c r="Q11" s="166"/>
      <c r="R11" s="166"/>
      <c r="S11" s="166"/>
      <c r="T11" s="166"/>
      <c r="U11" s="167"/>
      <c r="V11" s="255">
        <v>0.1</v>
      </c>
      <c r="W11" s="253">
        <v>0</v>
      </c>
      <c r="X11" s="254">
        <v>0</v>
      </c>
      <c r="Y11" s="275">
        <f>ROUND((($V$8*$V11*$W11)+$X11),2)</f>
        <v>0</v>
      </c>
      <c r="Z11" s="274">
        <f t="shared" si="0"/>
        <v>0</v>
      </c>
      <c r="AA11" s="275">
        <f t="shared" si="1"/>
        <v>0</v>
      </c>
      <c r="AB11" s="81"/>
      <c r="AC11" s="73"/>
      <c r="AD11" s="74"/>
    </row>
    <row r="12" spans="1:30" x14ac:dyDescent="0.25">
      <c r="A12" s="74"/>
      <c r="B12" s="73"/>
      <c r="C12" s="78"/>
      <c r="D12" s="80"/>
      <c r="E12" s="165" t="s">
        <v>139</v>
      </c>
      <c r="F12" s="166"/>
      <c r="G12" s="166"/>
      <c r="H12" s="166"/>
      <c r="I12" s="166"/>
      <c r="J12" s="166"/>
      <c r="K12" s="166"/>
      <c r="L12" s="166"/>
      <c r="M12" s="166"/>
      <c r="N12" s="166"/>
      <c r="O12" s="166"/>
      <c r="P12" s="166"/>
      <c r="Q12" s="166"/>
      <c r="R12" s="166"/>
      <c r="S12" s="166"/>
      <c r="T12" s="166"/>
      <c r="U12" s="167"/>
      <c r="V12" s="255">
        <v>0.05</v>
      </c>
      <c r="W12" s="253">
        <v>0</v>
      </c>
      <c r="X12" s="254">
        <v>0</v>
      </c>
      <c r="Y12" s="275">
        <f>ROUND((($V$8*$W12*$V$12)+$X12),2)</f>
        <v>0</v>
      </c>
      <c r="Z12" s="274">
        <f t="shared" si="0"/>
        <v>0</v>
      </c>
      <c r="AA12" s="275">
        <f t="shared" si="1"/>
        <v>0</v>
      </c>
      <c r="AB12" s="81"/>
      <c r="AC12" s="73"/>
      <c r="AD12" s="74"/>
    </row>
    <row r="13" spans="1:30" x14ac:dyDescent="0.25">
      <c r="A13" s="74"/>
      <c r="B13" s="73"/>
      <c r="C13" s="78"/>
      <c r="D13" s="80"/>
      <c r="E13" s="165" t="s">
        <v>157</v>
      </c>
      <c r="F13" s="166"/>
      <c r="G13" s="166"/>
      <c r="H13" s="166"/>
      <c r="I13" s="166"/>
      <c r="J13" s="166"/>
      <c r="K13" s="166"/>
      <c r="L13" s="166"/>
      <c r="M13" s="166"/>
      <c r="N13" s="166"/>
      <c r="O13" s="166"/>
      <c r="P13" s="166"/>
      <c r="Q13" s="166"/>
      <c r="R13" s="166"/>
      <c r="S13" s="166"/>
      <c r="T13" s="166"/>
      <c r="U13" s="166"/>
      <c r="V13" s="166"/>
      <c r="W13" s="166"/>
      <c r="X13" s="254">
        <v>0</v>
      </c>
      <c r="Y13" s="275">
        <f>ROUND($X13,2)</f>
        <v>0</v>
      </c>
      <c r="Z13" s="274">
        <f t="shared" si="0"/>
        <v>0</v>
      </c>
      <c r="AA13" s="275">
        <f t="shared" si="1"/>
        <v>0</v>
      </c>
      <c r="AB13" s="81"/>
      <c r="AC13" s="73"/>
      <c r="AD13" s="74"/>
    </row>
    <row r="14" spans="1:30" x14ac:dyDescent="0.25">
      <c r="A14" s="74"/>
      <c r="B14" s="73"/>
      <c r="C14" s="78"/>
      <c r="D14" s="80"/>
      <c r="E14" s="165" t="s">
        <v>291</v>
      </c>
      <c r="F14" s="166"/>
      <c r="G14" s="166"/>
      <c r="H14" s="166"/>
      <c r="I14" s="166"/>
      <c r="J14" s="166"/>
      <c r="K14" s="166"/>
      <c r="L14" s="166"/>
      <c r="M14" s="166"/>
      <c r="N14" s="166"/>
      <c r="O14" s="166"/>
      <c r="P14" s="166"/>
      <c r="Q14" s="166"/>
      <c r="R14" s="166"/>
      <c r="S14" s="166"/>
      <c r="T14" s="166"/>
      <c r="U14" s="166"/>
      <c r="V14" s="166"/>
      <c r="W14" s="166"/>
      <c r="X14" s="254">
        <v>0</v>
      </c>
      <c r="Y14" s="275">
        <f>$X14</f>
        <v>0</v>
      </c>
      <c r="Z14" s="274">
        <f t="shared" si="0"/>
        <v>0</v>
      </c>
      <c r="AA14" s="275">
        <f t="shared" si="1"/>
        <v>0</v>
      </c>
      <c r="AB14" s="81"/>
      <c r="AC14" s="73"/>
      <c r="AD14" s="74"/>
    </row>
    <row r="15" spans="1:30" x14ac:dyDescent="0.25">
      <c r="A15" s="74"/>
      <c r="B15" s="73"/>
      <c r="C15" s="78"/>
      <c r="D15" s="80"/>
      <c r="E15" s="98" t="s">
        <v>289</v>
      </c>
      <c r="F15" s="97"/>
      <c r="G15" s="97"/>
      <c r="H15" s="97"/>
      <c r="I15" s="97"/>
      <c r="J15" s="97"/>
      <c r="K15" s="97"/>
      <c r="L15" s="97"/>
      <c r="M15" s="97"/>
      <c r="N15" s="97"/>
      <c r="O15" s="97"/>
      <c r="P15" s="97"/>
      <c r="Q15" s="97"/>
      <c r="R15" s="97"/>
      <c r="S15" s="97"/>
      <c r="T15" s="97"/>
      <c r="U15" s="97"/>
      <c r="V15" s="97"/>
      <c r="W15" s="80"/>
      <c r="X15" s="254">
        <v>0</v>
      </c>
      <c r="Y15" s="267">
        <f>ROUND($X15,2)</f>
        <v>0</v>
      </c>
      <c r="Z15" s="268">
        <f t="shared" si="0"/>
        <v>0</v>
      </c>
      <c r="AA15" s="267">
        <f t="shared" si="1"/>
        <v>0</v>
      </c>
      <c r="AB15" s="81"/>
      <c r="AC15" s="73"/>
      <c r="AD15" s="74"/>
    </row>
    <row r="16" spans="1:30" x14ac:dyDescent="0.25">
      <c r="A16" s="74"/>
      <c r="B16" s="73"/>
      <c r="C16" s="78"/>
      <c r="D16" s="80"/>
      <c r="E16" s="165" t="s">
        <v>200</v>
      </c>
      <c r="F16" s="166"/>
      <c r="G16" s="166"/>
      <c r="H16" s="166"/>
      <c r="I16" s="166"/>
      <c r="J16" s="166"/>
      <c r="K16" s="166"/>
      <c r="L16" s="166"/>
      <c r="M16" s="166"/>
      <c r="N16" s="166"/>
      <c r="O16" s="166"/>
      <c r="P16" s="166"/>
      <c r="Q16" s="166"/>
      <c r="R16" s="166"/>
      <c r="S16" s="166"/>
      <c r="T16" s="166"/>
      <c r="U16" s="166"/>
      <c r="V16" s="166"/>
      <c r="W16" s="253">
        <v>0</v>
      </c>
      <c r="X16" s="254">
        <v>0</v>
      </c>
      <c r="Y16" s="273">
        <f t="shared" ref="Y16:Y25" si="2">ROUND((($V$8*$W16)+$X16),2)</f>
        <v>0</v>
      </c>
      <c r="Z16" s="274">
        <f t="shared" si="0"/>
        <v>0</v>
      </c>
      <c r="AA16" s="275">
        <f t="shared" si="1"/>
        <v>0</v>
      </c>
      <c r="AB16" s="81"/>
      <c r="AC16" s="73"/>
      <c r="AD16" s="74"/>
    </row>
    <row r="17" spans="1:30" x14ac:dyDescent="0.25">
      <c r="A17" s="74"/>
      <c r="B17" s="73"/>
      <c r="C17" s="78"/>
      <c r="D17" s="80"/>
      <c r="E17" s="165" t="s">
        <v>158</v>
      </c>
      <c r="F17" s="166"/>
      <c r="G17" s="166"/>
      <c r="H17" s="166"/>
      <c r="I17" s="166"/>
      <c r="J17" s="166"/>
      <c r="K17" s="166"/>
      <c r="L17" s="166"/>
      <c r="M17" s="166"/>
      <c r="N17" s="166"/>
      <c r="O17" s="166"/>
      <c r="P17" s="166"/>
      <c r="Q17" s="166"/>
      <c r="R17" s="166"/>
      <c r="S17" s="166"/>
      <c r="T17" s="166"/>
      <c r="U17" s="166"/>
      <c r="V17" s="166"/>
      <c r="W17" s="253">
        <v>0</v>
      </c>
      <c r="X17" s="254">
        <v>0</v>
      </c>
      <c r="Y17" s="275">
        <f t="shared" si="2"/>
        <v>0</v>
      </c>
      <c r="Z17" s="274">
        <f t="shared" si="0"/>
        <v>0</v>
      </c>
      <c r="AA17" s="275">
        <f t="shared" si="1"/>
        <v>0</v>
      </c>
      <c r="AB17" s="81"/>
      <c r="AC17" s="73"/>
      <c r="AD17" s="74"/>
    </row>
    <row r="18" spans="1:30" x14ac:dyDescent="0.25">
      <c r="A18" s="74"/>
      <c r="B18" s="73"/>
      <c r="C18" s="78"/>
      <c r="D18" s="80"/>
      <c r="E18" s="165" t="s">
        <v>253</v>
      </c>
      <c r="F18" s="166"/>
      <c r="G18" s="166"/>
      <c r="H18" s="166"/>
      <c r="I18" s="166"/>
      <c r="J18" s="166"/>
      <c r="K18" s="166"/>
      <c r="L18" s="166"/>
      <c r="M18" s="166"/>
      <c r="N18" s="166"/>
      <c r="O18" s="166"/>
      <c r="P18" s="166"/>
      <c r="Q18" s="166"/>
      <c r="R18" s="166"/>
      <c r="S18" s="166"/>
      <c r="T18" s="166"/>
      <c r="U18" s="166"/>
      <c r="V18" s="166"/>
      <c r="W18" s="253">
        <v>0</v>
      </c>
      <c r="X18" s="254">
        <v>0</v>
      </c>
      <c r="Y18" s="275">
        <f t="shared" si="2"/>
        <v>0</v>
      </c>
      <c r="Z18" s="274">
        <f t="shared" si="0"/>
        <v>0</v>
      </c>
      <c r="AA18" s="275">
        <f t="shared" si="1"/>
        <v>0</v>
      </c>
      <c r="AB18" s="81"/>
      <c r="AC18" s="73"/>
      <c r="AD18" s="74"/>
    </row>
    <row r="19" spans="1:30" x14ac:dyDescent="0.25">
      <c r="A19" s="74"/>
      <c r="B19" s="73"/>
      <c r="C19" s="78"/>
      <c r="D19" s="80"/>
      <c r="E19" s="176" t="s">
        <v>274</v>
      </c>
      <c r="F19" s="177"/>
      <c r="G19" s="177"/>
      <c r="H19" s="177"/>
      <c r="I19" s="177"/>
      <c r="J19" s="177"/>
      <c r="K19" s="177"/>
      <c r="L19" s="177"/>
      <c r="M19" s="177"/>
      <c r="N19" s="177"/>
      <c r="O19" s="177"/>
      <c r="P19" s="177"/>
      <c r="Q19" s="177"/>
      <c r="R19" s="177"/>
      <c r="S19" s="177"/>
      <c r="T19" s="177"/>
      <c r="U19" s="177"/>
      <c r="V19" s="178"/>
      <c r="W19" s="253">
        <v>0</v>
      </c>
      <c r="X19" s="254">
        <v>0</v>
      </c>
      <c r="Y19" s="267">
        <f t="shared" si="2"/>
        <v>0</v>
      </c>
      <c r="Z19" s="268">
        <f t="shared" si="0"/>
        <v>0</v>
      </c>
      <c r="AA19" s="267">
        <f t="shared" si="1"/>
        <v>0</v>
      </c>
      <c r="AB19" s="81"/>
      <c r="AC19" s="73"/>
      <c r="AD19" s="74"/>
    </row>
    <row r="20" spans="1:30" x14ac:dyDescent="0.25">
      <c r="A20" s="74"/>
      <c r="B20" s="73"/>
      <c r="C20" s="78"/>
      <c r="D20" s="80"/>
      <c r="E20" s="165" t="s">
        <v>196</v>
      </c>
      <c r="F20" s="166"/>
      <c r="G20" s="166"/>
      <c r="H20" s="166"/>
      <c r="I20" s="166"/>
      <c r="J20" s="166"/>
      <c r="K20" s="313" t="s">
        <v>293</v>
      </c>
      <c r="L20" s="166"/>
      <c r="M20" s="166"/>
      <c r="N20" s="166"/>
      <c r="O20" s="166"/>
      <c r="P20" s="166"/>
      <c r="Q20" s="166"/>
      <c r="R20" s="166"/>
      <c r="S20" s="166"/>
      <c r="T20" s="166"/>
      <c r="U20" s="166"/>
      <c r="V20" s="256" t="s">
        <v>105</v>
      </c>
      <c r="W20" s="253">
        <v>0</v>
      </c>
      <c r="X20" s="254">
        <v>0</v>
      </c>
      <c r="Y20" s="275">
        <f t="shared" si="2"/>
        <v>0</v>
      </c>
      <c r="Z20" s="274">
        <f t="shared" si="0"/>
        <v>0</v>
      </c>
      <c r="AA20" s="275">
        <f t="shared" si="1"/>
        <v>0</v>
      </c>
      <c r="AB20" s="81"/>
      <c r="AC20" s="73"/>
      <c r="AD20" s="74"/>
    </row>
    <row r="21" spans="1:30" x14ac:dyDescent="0.25">
      <c r="A21" s="74"/>
      <c r="B21" s="73"/>
      <c r="C21" s="78"/>
      <c r="D21" s="80"/>
      <c r="E21" s="165" t="s">
        <v>197</v>
      </c>
      <c r="F21" s="166"/>
      <c r="G21" s="166"/>
      <c r="H21" s="166"/>
      <c r="I21" s="166"/>
      <c r="J21" s="166"/>
      <c r="K21" s="313" t="s">
        <v>294</v>
      </c>
      <c r="L21" s="166"/>
      <c r="M21" s="166"/>
      <c r="N21" s="166"/>
      <c r="O21" s="166"/>
      <c r="P21" s="166"/>
      <c r="Q21" s="166"/>
      <c r="R21" s="166"/>
      <c r="S21" s="166"/>
      <c r="T21" s="166"/>
      <c r="U21" s="166"/>
      <c r="V21" s="256" t="s">
        <v>105</v>
      </c>
      <c r="W21" s="253">
        <v>0</v>
      </c>
      <c r="X21" s="254">
        <v>0</v>
      </c>
      <c r="Y21" s="275">
        <f t="shared" si="2"/>
        <v>0</v>
      </c>
      <c r="Z21" s="274">
        <f t="shared" si="0"/>
        <v>0</v>
      </c>
      <c r="AA21" s="275">
        <f t="shared" si="1"/>
        <v>0</v>
      </c>
      <c r="AB21" s="81"/>
      <c r="AC21" s="73"/>
      <c r="AD21" s="74"/>
    </row>
    <row r="22" spans="1:30" x14ac:dyDescent="0.25">
      <c r="A22" s="74"/>
      <c r="B22" s="73"/>
      <c r="C22" s="78"/>
      <c r="D22" s="80"/>
      <c r="E22" s="165" t="s">
        <v>198</v>
      </c>
      <c r="F22" s="166"/>
      <c r="G22" s="166"/>
      <c r="H22" s="166"/>
      <c r="I22" s="166"/>
      <c r="J22" s="166"/>
      <c r="K22" s="313" t="s">
        <v>293</v>
      </c>
      <c r="L22" s="166"/>
      <c r="M22" s="166"/>
      <c r="N22" s="166"/>
      <c r="O22" s="166"/>
      <c r="P22" s="166"/>
      <c r="Q22" s="166"/>
      <c r="R22" s="166"/>
      <c r="S22" s="166"/>
      <c r="T22" s="166"/>
      <c r="U22" s="166"/>
      <c r="V22" s="256" t="s">
        <v>105</v>
      </c>
      <c r="W22" s="253">
        <v>0</v>
      </c>
      <c r="X22" s="254">
        <v>0</v>
      </c>
      <c r="Y22" s="275">
        <f t="shared" si="2"/>
        <v>0</v>
      </c>
      <c r="Z22" s="274">
        <f t="shared" si="0"/>
        <v>0</v>
      </c>
      <c r="AA22" s="275">
        <f t="shared" si="1"/>
        <v>0</v>
      </c>
      <c r="AB22" s="81"/>
      <c r="AC22" s="73"/>
      <c r="AD22" s="74"/>
    </row>
    <row r="23" spans="1:30" x14ac:dyDescent="0.25">
      <c r="A23" s="74"/>
      <c r="B23" s="73"/>
      <c r="C23" s="78"/>
      <c r="D23" s="80"/>
      <c r="E23" s="165" t="s">
        <v>199</v>
      </c>
      <c r="F23" s="166"/>
      <c r="G23" s="166"/>
      <c r="H23" s="166"/>
      <c r="I23" s="166"/>
      <c r="J23" s="166"/>
      <c r="K23" s="313" t="s">
        <v>294</v>
      </c>
      <c r="L23" s="166"/>
      <c r="M23" s="166"/>
      <c r="N23" s="166"/>
      <c r="O23" s="166"/>
      <c r="P23" s="166"/>
      <c r="Q23" s="166"/>
      <c r="R23" s="166"/>
      <c r="S23" s="166"/>
      <c r="T23" s="166"/>
      <c r="U23" s="166"/>
      <c r="V23" s="256" t="s">
        <v>105</v>
      </c>
      <c r="W23" s="253">
        <v>0</v>
      </c>
      <c r="X23" s="254">
        <v>0</v>
      </c>
      <c r="Y23" s="275">
        <f t="shared" si="2"/>
        <v>0</v>
      </c>
      <c r="Z23" s="274">
        <f t="shared" si="0"/>
        <v>0</v>
      </c>
      <c r="AA23" s="275">
        <f t="shared" si="1"/>
        <v>0</v>
      </c>
      <c r="AB23" s="81"/>
      <c r="AC23" s="73"/>
      <c r="AD23" s="74"/>
    </row>
    <row r="24" spans="1:30" x14ac:dyDescent="0.25">
      <c r="A24" s="74"/>
      <c r="B24" s="73"/>
      <c r="C24" s="78"/>
      <c r="D24" s="80"/>
      <c r="E24" s="165" t="s">
        <v>240</v>
      </c>
      <c r="F24" s="166"/>
      <c r="G24" s="166"/>
      <c r="H24" s="166"/>
      <c r="I24" s="166"/>
      <c r="J24" s="166"/>
      <c r="K24" s="313" t="s">
        <v>293</v>
      </c>
      <c r="L24" s="166"/>
      <c r="M24" s="166"/>
      <c r="N24" s="166"/>
      <c r="O24" s="166"/>
      <c r="P24" s="166"/>
      <c r="Q24" s="166"/>
      <c r="R24" s="166"/>
      <c r="S24" s="166"/>
      <c r="T24" s="166"/>
      <c r="U24" s="166"/>
      <c r="V24" s="256" t="s">
        <v>105</v>
      </c>
      <c r="W24" s="253">
        <v>0</v>
      </c>
      <c r="X24" s="254">
        <v>0</v>
      </c>
      <c r="Y24" s="275">
        <f t="shared" si="2"/>
        <v>0</v>
      </c>
      <c r="Z24" s="274">
        <f t="shared" si="0"/>
        <v>0</v>
      </c>
      <c r="AA24" s="275">
        <f t="shared" si="1"/>
        <v>0</v>
      </c>
      <c r="AB24" s="81"/>
      <c r="AC24" s="73"/>
      <c r="AD24" s="74"/>
    </row>
    <row r="25" spans="1:30" x14ac:dyDescent="0.25">
      <c r="A25" s="74"/>
      <c r="B25" s="73"/>
      <c r="C25" s="78"/>
      <c r="D25" s="80"/>
      <c r="E25" s="176" t="s">
        <v>241</v>
      </c>
      <c r="F25" s="177"/>
      <c r="G25" s="177"/>
      <c r="H25" s="177"/>
      <c r="I25" s="177"/>
      <c r="J25" s="177"/>
      <c r="K25" s="314" t="s">
        <v>294</v>
      </c>
      <c r="L25" s="177"/>
      <c r="M25" s="177"/>
      <c r="N25" s="177"/>
      <c r="O25" s="177"/>
      <c r="P25" s="177"/>
      <c r="Q25" s="177"/>
      <c r="R25" s="177"/>
      <c r="S25" s="177"/>
      <c r="T25" s="177"/>
      <c r="U25" s="178"/>
      <c r="V25" s="256" t="s">
        <v>105</v>
      </c>
      <c r="W25" s="253">
        <v>0</v>
      </c>
      <c r="X25" s="254">
        <v>0</v>
      </c>
      <c r="Y25" s="267">
        <f t="shared" si="2"/>
        <v>0</v>
      </c>
      <c r="Z25" s="268">
        <f t="shared" si="0"/>
        <v>0</v>
      </c>
      <c r="AA25" s="267">
        <f t="shared" si="1"/>
        <v>0</v>
      </c>
      <c r="AB25" s="81"/>
      <c r="AC25" s="73"/>
      <c r="AD25" s="74"/>
    </row>
    <row r="26" spans="1:30" x14ac:dyDescent="0.25">
      <c r="A26" s="74"/>
      <c r="B26" s="73"/>
      <c r="C26" s="78"/>
      <c r="D26" s="80"/>
      <c r="E26" s="165" t="s">
        <v>153</v>
      </c>
      <c r="F26" s="166"/>
      <c r="G26" s="166"/>
      <c r="H26" s="166"/>
      <c r="I26" s="166"/>
      <c r="J26" s="166"/>
      <c r="K26" s="166"/>
      <c r="L26" s="166"/>
      <c r="M26" s="166"/>
      <c r="N26" s="166"/>
      <c r="O26" s="166"/>
      <c r="P26" s="166"/>
      <c r="Q26" s="166"/>
      <c r="R26" s="166"/>
      <c r="S26" s="166"/>
      <c r="T26" s="166"/>
      <c r="U26" s="166"/>
      <c r="V26" s="166"/>
      <c r="W26" s="166"/>
      <c r="X26" s="254">
        <v>0</v>
      </c>
      <c r="Y26" s="275">
        <f>ROUND($X26,2)</f>
        <v>0</v>
      </c>
      <c r="Z26" s="274">
        <f t="shared" si="0"/>
        <v>0</v>
      </c>
      <c r="AA26" s="275">
        <f t="shared" si="1"/>
        <v>0</v>
      </c>
      <c r="AB26" s="81"/>
      <c r="AC26" s="73"/>
      <c r="AD26" s="74"/>
    </row>
    <row r="27" spans="1:30" x14ac:dyDescent="0.25">
      <c r="A27" s="74"/>
      <c r="B27" s="73"/>
      <c r="C27" s="78"/>
      <c r="D27" s="80"/>
      <c r="E27" s="165" t="s">
        <v>252</v>
      </c>
      <c r="F27" s="166"/>
      <c r="G27" s="166"/>
      <c r="H27" s="166"/>
      <c r="I27" s="166"/>
      <c r="J27" s="166"/>
      <c r="K27" s="166"/>
      <c r="L27" s="166"/>
      <c r="M27" s="166"/>
      <c r="N27" s="166"/>
      <c r="O27" s="166"/>
      <c r="P27" s="166"/>
      <c r="Q27" s="166"/>
      <c r="R27" s="166"/>
      <c r="S27" s="166"/>
      <c r="T27" s="166"/>
      <c r="U27" s="166"/>
      <c r="V27" s="166"/>
      <c r="W27" s="166"/>
      <c r="X27" s="254">
        <v>0</v>
      </c>
      <c r="Y27" s="278" t="str">
        <f>IF($X27&lt;&gt;0,"taxed, not paid","")</f>
        <v/>
      </c>
      <c r="Z27" s="278" t="str">
        <f t="shared" ref="Z27:AA27" si="3">Y27</f>
        <v/>
      </c>
      <c r="AA27" s="278" t="str">
        <f t="shared" si="3"/>
        <v/>
      </c>
      <c r="AB27" s="81"/>
      <c r="AC27" s="73"/>
      <c r="AD27" s="74"/>
    </row>
    <row r="28" spans="1:30" x14ac:dyDescent="0.25">
      <c r="A28" s="74"/>
      <c r="B28" s="73"/>
      <c r="C28" s="78"/>
      <c r="D28" s="80"/>
      <c r="E28" s="165" t="s">
        <v>142</v>
      </c>
      <c r="F28" s="166"/>
      <c r="G28" s="166"/>
      <c r="H28" s="166"/>
      <c r="I28" s="166"/>
      <c r="J28" s="166"/>
      <c r="K28" s="166"/>
      <c r="L28" s="166"/>
      <c r="M28" s="166"/>
      <c r="N28" s="166"/>
      <c r="O28" s="166"/>
      <c r="P28" s="166"/>
      <c r="Q28" s="166"/>
      <c r="R28" s="166"/>
      <c r="S28" s="166"/>
      <c r="T28" s="166"/>
      <c r="U28" s="166"/>
      <c r="V28" s="168"/>
      <c r="W28" s="166"/>
      <c r="X28" s="254">
        <v>0</v>
      </c>
      <c r="Y28" s="275">
        <f>ROUND($X28,2)</f>
        <v>0</v>
      </c>
      <c r="Z28" s="274">
        <f t="shared" ref="Z28:Z30" si="4">$Y28</f>
        <v>0</v>
      </c>
      <c r="AA28" s="275">
        <f t="shared" ref="AA28:AA30" si="5">$Z28</f>
        <v>0</v>
      </c>
      <c r="AB28" s="81"/>
      <c r="AC28" s="73"/>
      <c r="AD28" s="74"/>
    </row>
    <row r="29" spans="1:30" x14ac:dyDescent="0.25">
      <c r="A29" s="74"/>
      <c r="B29" s="73"/>
      <c r="C29" s="78"/>
      <c r="D29" s="80"/>
      <c r="E29" s="165" t="s">
        <v>143</v>
      </c>
      <c r="F29" s="166"/>
      <c r="G29" s="166"/>
      <c r="H29" s="166"/>
      <c r="I29" s="166"/>
      <c r="J29" s="166"/>
      <c r="K29" s="166"/>
      <c r="L29" s="166"/>
      <c r="M29" s="166"/>
      <c r="N29" s="166"/>
      <c r="O29" s="166"/>
      <c r="P29" s="166"/>
      <c r="Q29" s="166"/>
      <c r="R29" s="166"/>
      <c r="S29" s="166"/>
      <c r="T29" s="166"/>
      <c r="U29" s="166"/>
      <c r="V29" s="166"/>
      <c r="W29" s="166"/>
      <c r="X29" s="254">
        <v>0</v>
      </c>
      <c r="Y29" s="275">
        <f>ROUND($X29,2)</f>
        <v>0</v>
      </c>
      <c r="Z29" s="274">
        <f t="shared" si="4"/>
        <v>0</v>
      </c>
      <c r="AA29" s="275">
        <f t="shared" si="5"/>
        <v>0</v>
      </c>
      <c r="AB29" s="81"/>
      <c r="AC29" s="73"/>
      <c r="AD29" s="74"/>
    </row>
    <row r="30" spans="1:30" x14ac:dyDescent="0.25">
      <c r="A30" s="74"/>
      <c r="B30" s="73"/>
      <c r="C30" s="78"/>
      <c r="D30" s="80"/>
      <c r="E30" s="219" t="s">
        <v>144</v>
      </c>
      <c r="F30" s="80"/>
      <c r="G30" s="80"/>
      <c r="H30" s="80"/>
      <c r="I30" s="80"/>
      <c r="J30" s="80"/>
      <c r="K30" s="80"/>
      <c r="L30" s="80"/>
      <c r="M30" s="80"/>
      <c r="N30" s="80"/>
      <c r="O30" s="80"/>
      <c r="P30" s="80"/>
      <c r="Q30" s="80"/>
      <c r="R30" s="80"/>
      <c r="S30" s="80"/>
      <c r="T30" s="80"/>
      <c r="U30" s="80"/>
      <c r="V30" s="87"/>
      <c r="W30" s="80"/>
      <c r="X30" s="254">
        <v>0</v>
      </c>
      <c r="Y30" s="199">
        <f>ROUND($X30,2)</f>
        <v>0</v>
      </c>
      <c r="Z30" s="205">
        <f t="shared" si="4"/>
        <v>0</v>
      </c>
      <c r="AA30" s="93">
        <f t="shared" si="5"/>
        <v>0</v>
      </c>
      <c r="AB30" s="81"/>
      <c r="AC30" s="73"/>
      <c r="AD30" s="74"/>
    </row>
    <row r="31" spans="1:30" x14ac:dyDescent="0.25">
      <c r="A31" s="74"/>
      <c r="B31" s="73"/>
      <c r="C31" s="78"/>
      <c r="D31" s="80"/>
      <c r="E31" s="186" t="s">
        <v>0</v>
      </c>
      <c r="F31" s="187"/>
      <c r="G31" s="187"/>
      <c r="H31" s="187"/>
      <c r="I31" s="187"/>
      <c r="J31" s="187"/>
      <c r="K31" s="187"/>
      <c r="L31" s="187"/>
      <c r="M31" s="187"/>
      <c r="N31" s="187"/>
      <c r="O31" s="187"/>
      <c r="P31" s="187"/>
      <c r="Q31" s="187"/>
      <c r="R31" s="187"/>
      <c r="S31" s="187"/>
      <c r="T31" s="187"/>
      <c r="U31" s="187"/>
      <c r="V31" s="187"/>
      <c r="W31" s="187"/>
      <c r="X31" s="187"/>
      <c r="Y31" s="188">
        <f>SUM(Y8:Y30)</f>
        <v>0</v>
      </c>
      <c r="Z31" s="188">
        <f>SUM(Z8:Z30)</f>
        <v>0</v>
      </c>
      <c r="AA31" s="188">
        <f>SUM(AA8:AA30)</f>
        <v>0</v>
      </c>
      <c r="AB31" s="81"/>
      <c r="AC31" s="73"/>
      <c r="AD31" s="74"/>
    </row>
    <row r="32" spans="1:30" x14ac:dyDescent="0.25">
      <c r="A32" s="74"/>
      <c r="B32" s="73"/>
      <c r="C32" s="78"/>
      <c r="D32" s="80"/>
      <c r="E32" s="80"/>
      <c r="F32" s="80"/>
      <c r="G32" s="80"/>
      <c r="H32" s="80"/>
      <c r="I32" s="80"/>
      <c r="J32" s="80"/>
      <c r="K32" s="80"/>
      <c r="L32" s="80"/>
      <c r="M32" s="80"/>
      <c r="N32" s="80"/>
      <c r="O32" s="80"/>
      <c r="P32" s="80"/>
      <c r="Q32" s="80"/>
      <c r="R32" s="80"/>
      <c r="S32" s="80"/>
      <c r="T32" s="80"/>
      <c r="U32" s="80"/>
      <c r="V32" s="80"/>
      <c r="W32" s="80"/>
      <c r="X32" s="80"/>
      <c r="Y32" s="180"/>
      <c r="Z32" s="180"/>
      <c r="AA32" s="180"/>
      <c r="AB32" s="81"/>
      <c r="AC32" s="73"/>
      <c r="AD32" s="74"/>
    </row>
    <row r="33" spans="1:30" x14ac:dyDescent="0.25">
      <c r="A33" s="74"/>
      <c r="B33" s="73"/>
      <c r="C33" s="78"/>
      <c r="D33" s="99" t="s">
        <v>118</v>
      </c>
      <c r="E33" s="97"/>
      <c r="F33" s="97"/>
      <c r="G33" s="97"/>
      <c r="H33" s="80"/>
      <c r="I33" s="80"/>
      <c r="J33" s="80"/>
      <c r="K33" s="80"/>
      <c r="L33" s="80"/>
      <c r="M33" s="80"/>
      <c r="N33" s="80"/>
      <c r="O33" s="80"/>
      <c r="P33" s="80"/>
      <c r="Q33" s="80"/>
      <c r="R33" s="80"/>
      <c r="S33" s="80"/>
      <c r="T33" s="80"/>
      <c r="U33" s="80"/>
      <c r="V33" s="80"/>
      <c r="W33" s="97"/>
      <c r="X33" s="110" t="s">
        <v>266</v>
      </c>
      <c r="Y33" s="277"/>
      <c r="Z33" s="277"/>
      <c r="AA33" s="277"/>
      <c r="AB33" s="81"/>
      <c r="AC33" s="73"/>
      <c r="AD33" s="74"/>
    </row>
    <row r="34" spans="1:30" x14ac:dyDescent="0.25">
      <c r="A34" s="74"/>
      <c r="B34" s="73"/>
      <c r="C34" s="78"/>
      <c r="D34" s="80">
        <v>1</v>
      </c>
      <c r="E34" s="165" t="s">
        <v>23</v>
      </c>
      <c r="F34" s="166"/>
      <c r="G34" s="588">
        <v>1</v>
      </c>
      <c r="H34" s="707" t="str">
        <f>VLOOKUP(G34,RETIREMENT!$C$7:$D$48,2,FALSE)</f>
        <v>PLAN-ASRS</v>
      </c>
      <c r="I34" s="708"/>
      <c r="J34" s="708"/>
      <c r="K34" s="708"/>
      <c r="L34" s="708"/>
      <c r="M34" s="708"/>
      <c r="N34" s="708"/>
      <c r="O34" s="708"/>
      <c r="P34" s="708"/>
      <c r="Q34" s="708"/>
      <c r="R34" s="708"/>
      <c r="S34" s="708"/>
      <c r="T34" s="708"/>
      <c r="U34" s="709"/>
      <c r="V34" s="635">
        <f>VLOOKUP(G34,RETIREMENT!$C$7:$F$48,4,FALSE)</f>
        <v>0.1203</v>
      </c>
      <c r="W34" s="166"/>
      <c r="X34" s="254">
        <v>0</v>
      </c>
      <c r="Y34" s="276">
        <f>ROUND((IF($H$34="NO RETIREMENT",0,  IF($H$34="PLAN-ASRS",$V$34*ASRSeligibleWage,    IF($H$34="ELECTED OFFICIALS &amp; JUDGES (415)",$V$34*EORPeligibleWage,   IF(  OR($H$34="CORRECTIONS (500)", $H$34="JUVENILE CORRECTIONS (501)",$H$34="PUBLIC SAFETY DISPATCHERS (563)",$H$34="PUBLIC SAFETY DETENTION OFFICERS"),$V$34*CORPeligibleWage,$V$34*PSRSeligibleWage)      )))+$X34),2)</f>
        <v>0</v>
      </c>
      <c r="Z34" s="276">
        <f>IF(VLOOKUP($E34,CYCLES!$E$4:$N$45, IF($V$5=1,2,IF($V$5=2,3,IF($V$5=3,4,IF($V$5=5,6,1)))),FALSE)="X",$Y34,0)</f>
        <v>0</v>
      </c>
      <c r="AA34" s="276">
        <f>IF(VLOOKUP($E34,PRIORITIES!$E$5:$H$46,4,FALSE)&gt;0,$Z34,0)</f>
        <v>0</v>
      </c>
      <c r="AB34" s="81"/>
      <c r="AC34" s="73"/>
      <c r="AD34" s="74"/>
    </row>
    <row r="35" spans="1:30" x14ac:dyDescent="0.25">
      <c r="A35" s="74"/>
      <c r="B35" s="73"/>
      <c r="C35" s="78"/>
      <c r="D35" s="80">
        <v>3</v>
      </c>
      <c r="E35" s="176" t="s">
        <v>108</v>
      </c>
      <c r="F35" s="177"/>
      <c r="G35" s="177"/>
      <c r="H35" s="97"/>
      <c r="I35" s="97"/>
      <c r="J35" s="97"/>
      <c r="K35" s="97"/>
      <c r="L35" s="97"/>
      <c r="M35" s="97"/>
      <c r="N35" s="97"/>
      <c r="O35" s="97"/>
      <c r="P35" s="97"/>
      <c r="Q35" s="97"/>
      <c r="R35" s="97"/>
      <c r="S35" s="97"/>
      <c r="T35" s="97"/>
      <c r="U35" s="97"/>
      <c r="V35" s="177"/>
      <c r="W35" s="177"/>
      <c r="X35" s="254">
        <v>0</v>
      </c>
      <c r="Y35" s="267">
        <f t="shared" ref="Y35:Y45" si="6">ROUND($X35,2)</f>
        <v>0</v>
      </c>
      <c r="Z35" s="269">
        <f>IF(VLOOKUP($E35,CYCLES!$E$4:$N$45, IF($V$5=1,2,IF($V$5=2,3,IF($V$5=3,4,IF($V$5=5,6,1)))),FALSE)="X",$Y35,0)</f>
        <v>0</v>
      </c>
      <c r="AA35" s="269">
        <f>IF(VLOOKUP($E35,PRIORITIES!$E$5:$H$46,4,FALSE)&gt;0,$Z35,0)</f>
        <v>0</v>
      </c>
      <c r="AB35" s="81"/>
      <c r="AC35" s="73"/>
      <c r="AD35" s="74"/>
    </row>
    <row r="36" spans="1:30" x14ac:dyDescent="0.25">
      <c r="A36" s="74"/>
      <c r="B36" s="73"/>
      <c r="C36" s="78"/>
      <c r="D36" s="80">
        <v>2</v>
      </c>
      <c r="E36" s="169" t="s">
        <v>109</v>
      </c>
      <c r="F36" s="166"/>
      <c r="G36" s="166"/>
      <c r="H36" s="166"/>
      <c r="I36" s="166"/>
      <c r="J36" s="166"/>
      <c r="K36" s="166"/>
      <c r="L36" s="166"/>
      <c r="M36" s="166"/>
      <c r="N36" s="166"/>
      <c r="O36" s="166"/>
      <c r="P36" s="166"/>
      <c r="Q36" s="166"/>
      <c r="R36" s="166"/>
      <c r="S36" s="166"/>
      <c r="T36" s="166"/>
      <c r="U36" s="166"/>
      <c r="V36" s="166"/>
      <c r="W36" s="166"/>
      <c r="X36" s="254">
        <v>0</v>
      </c>
      <c r="Y36" s="275">
        <f t="shared" si="6"/>
        <v>0</v>
      </c>
      <c r="Z36" s="276">
        <f>IF(VLOOKUP($E36,CYCLES!$E$4:$N$45, IF($V$5=1,2,IF($V$5=2,3,IF($V$5=3,4,IF($V$5=5,6,1)))),FALSE)="X",$Y36,0)</f>
        <v>0</v>
      </c>
      <c r="AA36" s="276">
        <f>IF(VLOOKUP($E36,PRIORITIES!$E$5:$H$46,4,FALSE)&gt;0,$Z36,0)</f>
        <v>0</v>
      </c>
      <c r="AB36" s="81"/>
      <c r="AC36" s="73"/>
      <c r="AD36" s="74"/>
    </row>
    <row r="37" spans="1:30" x14ac:dyDescent="0.25">
      <c r="A37" s="74"/>
      <c r="B37" s="73"/>
      <c r="C37" s="78"/>
      <c r="D37" s="80">
        <v>2</v>
      </c>
      <c r="E37" s="169" t="s">
        <v>110</v>
      </c>
      <c r="F37" s="166"/>
      <c r="G37" s="166"/>
      <c r="H37" s="166"/>
      <c r="I37" s="166"/>
      <c r="J37" s="166"/>
      <c r="K37" s="166"/>
      <c r="L37" s="166"/>
      <c r="M37" s="166"/>
      <c r="N37" s="166"/>
      <c r="O37" s="166"/>
      <c r="P37" s="166"/>
      <c r="Q37" s="166"/>
      <c r="R37" s="166"/>
      <c r="S37" s="166"/>
      <c r="T37" s="166"/>
      <c r="U37" s="166"/>
      <c r="V37" s="166"/>
      <c r="W37" s="166"/>
      <c r="X37" s="254">
        <v>0</v>
      </c>
      <c r="Y37" s="275">
        <f t="shared" si="6"/>
        <v>0</v>
      </c>
      <c r="Z37" s="276">
        <f>IF(VLOOKUP($E37,CYCLES!$E$4:$N$45, IF($V$5=1,2,IF($V$5=2,3,IF($V$5=3,4,IF($V$5=5,6,1)))),FALSE)="X",$Y37,0)</f>
        <v>0</v>
      </c>
      <c r="AA37" s="276">
        <f>IF(VLOOKUP($E37,PRIORITIES!$E$5:$H$46,4,FALSE)&gt;0,$Z37,0)</f>
        <v>0</v>
      </c>
      <c r="AB37" s="81"/>
      <c r="AC37" s="73"/>
      <c r="AD37" s="74"/>
    </row>
    <row r="38" spans="1:30" x14ac:dyDescent="0.25">
      <c r="A38" s="74"/>
      <c r="B38" s="73"/>
      <c r="C38" s="78"/>
      <c r="D38" s="80">
        <v>4</v>
      </c>
      <c r="E38" s="169" t="s">
        <v>111</v>
      </c>
      <c r="F38" s="166"/>
      <c r="G38" s="166"/>
      <c r="H38" s="166"/>
      <c r="I38" s="166"/>
      <c r="J38" s="166"/>
      <c r="K38" s="166"/>
      <c r="L38" s="166"/>
      <c r="M38" s="166"/>
      <c r="N38" s="166"/>
      <c r="O38" s="166"/>
      <c r="P38" s="166"/>
      <c r="Q38" s="166"/>
      <c r="R38" s="166"/>
      <c r="S38" s="166" t="s">
        <v>453</v>
      </c>
      <c r="T38" s="166"/>
      <c r="U38" s="166"/>
      <c r="V38" s="166"/>
      <c r="W38" s="166"/>
      <c r="X38" s="254">
        <v>0</v>
      </c>
      <c r="Y38" s="275">
        <f t="shared" si="6"/>
        <v>0</v>
      </c>
      <c r="Z38" s="276">
        <f>IF(VLOOKUP($E38,CYCLES!$E$4:$N$45, IF($V$5=1,2,IF($V$5=2,3,IF($V$5=3,4,IF($V$5=5,6,1)))),FALSE)="X",$Y38,0)</f>
        <v>0</v>
      </c>
      <c r="AA38" s="276">
        <f>IF(VLOOKUP($E38,PRIORITIES!$E$5:$H$46,4,FALSE)&gt;0,$Z38,0)</f>
        <v>0</v>
      </c>
      <c r="AB38" s="81"/>
      <c r="AC38" s="73"/>
      <c r="AD38" s="74"/>
    </row>
    <row r="39" spans="1:30" x14ac:dyDescent="0.25">
      <c r="A39" s="74"/>
      <c r="B39" s="73"/>
      <c r="C39" s="78"/>
      <c r="D39" s="80">
        <v>2</v>
      </c>
      <c r="E39" s="169" t="s">
        <v>112</v>
      </c>
      <c r="F39" s="166"/>
      <c r="G39" s="166"/>
      <c r="H39" s="166"/>
      <c r="I39" s="166"/>
      <c r="J39" s="166"/>
      <c r="K39" s="166"/>
      <c r="L39" s="166"/>
      <c r="M39" s="166"/>
      <c r="N39" s="166"/>
      <c r="O39" s="166"/>
      <c r="P39" s="166"/>
      <c r="Q39" s="166"/>
      <c r="R39" s="166"/>
      <c r="S39" s="166"/>
      <c r="T39" s="166"/>
      <c r="U39" s="166"/>
      <c r="V39" s="166"/>
      <c r="W39" s="166"/>
      <c r="X39" s="254">
        <v>0</v>
      </c>
      <c r="Y39" s="275">
        <f t="shared" si="6"/>
        <v>0</v>
      </c>
      <c r="Z39" s="276">
        <f>IF(VLOOKUP($E39,CYCLES!$E$4:$N$45, IF($V$5=1,2,IF($V$5=2,3,IF($V$5=3,4,IF($V$5=5,6,1)))),FALSE)="X",$Y39,0)</f>
        <v>0</v>
      </c>
      <c r="AA39" s="276">
        <f>IF(VLOOKUP($E39,PRIORITIES!$E$5:$H$46,4,FALSE)&gt;0,$Z39,0)</f>
        <v>0</v>
      </c>
      <c r="AB39" s="81"/>
      <c r="AC39" s="73"/>
      <c r="AD39" s="74"/>
    </row>
    <row r="40" spans="1:30" x14ac:dyDescent="0.25">
      <c r="A40" s="74"/>
      <c r="B40" s="73"/>
      <c r="C40" s="78"/>
      <c r="D40" s="80">
        <v>2</v>
      </c>
      <c r="E40" s="169" t="s">
        <v>273</v>
      </c>
      <c r="F40" s="166"/>
      <c r="G40" s="166"/>
      <c r="H40" s="166"/>
      <c r="I40" s="166"/>
      <c r="J40" s="166"/>
      <c r="K40" s="166"/>
      <c r="L40" s="166"/>
      <c r="M40" s="166"/>
      <c r="N40" s="166"/>
      <c r="O40" s="166"/>
      <c r="P40" s="166"/>
      <c r="Q40" s="166"/>
      <c r="R40" s="166"/>
      <c r="S40" s="166"/>
      <c r="T40" s="166"/>
      <c r="U40" s="166"/>
      <c r="V40" s="166"/>
      <c r="W40" s="166"/>
      <c r="X40" s="254">
        <v>0</v>
      </c>
      <c r="Y40" s="275">
        <f t="shared" si="6"/>
        <v>0</v>
      </c>
      <c r="Z40" s="276">
        <f>IF(VLOOKUP($E40,CYCLES!$E$4:$N$45, IF($V$5=1,2,IF($V$5=2,3,IF($V$5=3,4,IF($V$5=5,6,1)))),FALSE)="X",$Y40,0)</f>
        <v>0</v>
      </c>
      <c r="AA40" s="276">
        <f>IF(VLOOKUP($E40,PRIORITIES!$E$5:$H$46,4,FALSE)&gt;0,$Z40,0)</f>
        <v>0</v>
      </c>
      <c r="AB40" s="81"/>
      <c r="AC40" s="73"/>
      <c r="AD40" s="74"/>
    </row>
    <row r="41" spans="1:30" x14ac:dyDescent="0.25">
      <c r="A41" s="74"/>
      <c r="B41" s="73"/>
      <c r="C41" s="78"/>
      <c r="D41" s="80">
        <v>2</v>
      </c>
      <c r="E41" s="179" t="s">
        <v>131</v>
      </c>
      <c r="F41" s="177"/>
      <c r="G41" s="177"/>
      <c r="H41" s="177"/>
      <c r="I41" s="177"/>
      <c r="J41" s="177"/>
      <c r="K41" s="177"/>
      <c r="L41" s="177"/>
      <c r="M41" s="177"/>
      <c r="N41" s="177"/>
      <c r="O41" s="177"/>
      <c r="P41" s="177"/>
      <c r="Q41" s="177"/>
      <c r="R41" s="177"/>
      <c r="S41" s="177"/>
      <c r="T41" s="177"/>
      <c r="U41" s="177"/>
      <c r="V41" s="177"/>
      <c r="W41" s="178"/>
      <c r="X41" s="254">
        <v>0</v>
      </c>
      <c r="Y41" s="267">
        <f t="shared" si="6"/>
        <v>0</v>
      </c>
      <c r="Z41" s="269">
        <f>IF(VLOOKUP($E41,CYCLES!$E$4:$N$45, IF($V$5=1,2,IF($V$5=2,3,IF($V$5=3,4,IF($V$5=5,6,1)))),FALSE)="X",$Y41,0)</f>
        <v>0</v>
      </c>
      <c r="AA41" s="269">
        <f>IF(VLOOKUP($E41,PRIORITIES!$E$5:$H$46,4,FALSE)&gt;0,$Z41,0)</f>
        <v>0</v>
      </c>
      <c r="AB41" s="81"/>
      <c r="AC41" s="73"/>
      <c r="AD41" s="74"/>
    </row>
    <row r="42" spans="1:30" x14ac:dyDescent="0.25">
      <c r="A42" s="74"/>
      <c r="B42" s="73"/>
      <c r="C42" s="78"/>
      <c r="D42" s="80">
        <v>9</v>
      </c>
      <c r="E42" s="169" t="s">
        <v>148</v>
      </c>
      <c r="F42" s="166"/>
      <c r="G42" s="166"/>
      <c r="H42" s="166"/>
      <c r="I42" s="166"/>
      <c r="J42" s="166"/>
      <c r="K42" s="166"/>
      <c r="L42" s="166"/>
      <c r="M42" s="166"/>
      <c r="N42" s="166"/>
      <c r="O42" s="166"/>
      <c r="P42" s="166"/>
      <c r="Q42" s="166"/>
      <c r="R42" s="166"/>
      <c r="S42" s="166"/>
      <c r="T42" s="166"/>
      <c r="U42" s="166"/>
      <c r="V42" s="166"/>
      <c r="W42" s="247" t="str">
        <f>IF($Y42&lt;&gt;0,"May be restricted by annual contribution limits ==&gt;","")</f>
        <v/>
      </c>
      <c r="X42" s="254">
        <v>0</v>
      </c>
      <c r="Y42" s="275">
        <f t="shared" si="6"/>
        <v>0</v>
      </c>
      <c r="Z42" s="276">
        <f>IF(VLOOKUP($E42,CYCLES!$E$4:$N$45, IF($V$5=1,2,IF($V$5=2,3,IF($V$5=3,4,IF($V$5=5,6,1)))),FALSE)="X",$Y42,0)</f>
        <v>0</v>
      </c>
      <c r="AA42" s="276">
        <f>IF(VLOOKUP($E42,PRIORITIES!$E$5:$H$46,4,FALSE)&gt;0,$Z42,0)</f>
        <v>0</v>
      </c>
      <c r="AB42" s="81"/>
      <c r="AC42" s="73"/>
      <c r="AD42" s="74"/>
    </row>
    <row r="43" spans="1:30" x14ac:dyDescent="0.25">
      <c r="A43" s="74"/>
      <c r="B43" s="73"/>
      <c r="C43" s="78"/>
      <c r="D43" s="80">
        <v>8</v>
      </c>
      <c r="E43" s="165" t="s">
        <v>277</v>
      </c>
      <c r="F43" s="166"/>
      <c r="G43" s="166"/>
      <c r="H43" s="166"/>
      <c r="I43" s="166"/>
      <c r="J43" s="166"/>
      <c r="K43" s="260">
        <v>0</v>
      </c>
      <c r="L43" s="166"/>
      <c r="M43" s="166"/>
      <c r="N43" s="166" t="s">
        <v>467</v>
      </c>
      <c r="O43" s="166"/>
      <c r="P43" s="166"/>
      <c r="Q43" s="166"/>
      <c r="R43" s="166"/>
      <c r="S43" s="166"/>
      <c r="T43" s="166"/>
      <c r="U43" s="166"/>
      <c r="V43" s="166"/>
      <c r="W43" s="247" t="str">
        <f>IF($Y43&lt;&gt;0,"May be restricted by annual contribution limits ==&gt;","")</f>
        <v/>
      </c>
      <c r="X43" s="254">
        <v>0</v>
      </c>
      <c r="Y43" s="275">
        <f>ROUND((('WAGE BASE'!$L$31*ESTIMATOR!$K$43)+$X43),2)</f>
        <v>0</v>
      </c>
      <c r="Z43" s="276">
        <f>IF(VLOOKUP($E43,CYCLES!$E$4:$N$45, IF($V$5=1,2,IF($V$5=2,3,IF($V$5=3,4,IF($V$5=5,6,1)))),FALSE)="X",$Y43,0)</f>
        <v>0</v>
      </c>
      <c r="AA43" s="276">
        <f>IF(VLOOKUP($E43,PRIORITIES!$E$5:$H$46,4,FALSE)&gt;0,$Z43,   IF(  AND($K$43=100%,PRIORITIES!$H$45&gt;0),-PRIORITIES!$H$45,0))</f>
        <v>0</v>
      </c>
      <c r="AB43" s="81"/>
      <c r="AC43" s="73"/>
      <c r="AD43" s="74"/>
    </row>
    <row r="44" spans="1:30" x14ac:dyDescent="0.25">
      <c r="A44" s="74"/>
      <c r="B44" s="73"/>
      <c r="C44" s="78"/>
      <c r="D44" s="80">
        <v>9</v>
      </c>
      <c r="E44" s="169" t="s">
        <v>114</v>
      </c>
      <c r="F44" s="166"/>
      <c r="G44" s="166"/>
      <c r="H44" s="166"/>
      <c r="I44" s="166"/>
      <c r="J44" s="166"/>
      <c r="K44" s="166"/>
      <c r="L44" s="166"/>
      <c r="M44" s="166"/>
      <c r="N44" s="166"/>
      <c r="O44" s="166"/>
      <c r="P44" s="166"/>
      <c r="Q44" s="166"/>
      <c r="R44" s="166"/>
      <c r="S44" s="166"/>
      <c r="T44" s="166"/>
      <c r="U44" s="166"/>
      <c r="V44" s="166"/>
      <c r="W44" s="166"/>
      <c r="X44" s="254">
        <v>0</v>
      </c>
      <c r="Y44" s="275">
        <f t="shared" si="6"/>
        <v>0</v>
      </c>
      <c r="Z44" s="276">
        <f>IF(VLOOKUP($E44,CYCLES!$E$4:$N$45, IF($V$5=1,2,IF($V$5=2,3,IF($V$5=3,4,IF($V$5=5,6,1)))),FALSE)="X",$Y44,0)</f>
        <v>0</v>
      </c>
      <c r="AA44" s="276">
        <f>IF(VLOOKUP($E44,PRIORITIES!$E$5:$H$46,4,FALSE)&gt;0,$Z44,0)</f>
        <v>0</v>
      </c>
      <c r="AB44" s="81"/>
      <c r="AC44" s="73"/>
      <c r="AD44" s="74"/>
    </row>
    <row r="45" spans="1:30" x14ac:dyDescent="0.25">
      <c r="A45" s="74"/>
      <c r="B45" s="73"/>
      <c r="C45" s="78"/>
      <c r="D45" s="80">
        <v>9</v>
      </c>
      <c r="E45" s="220" t="s">
        <v>276</v>
      </c>
      <c r="F45" s="80"/>
      <c r="G45" s="80"/>
      <c r="H45" s="80"/>
      <c r="I45" s="80"/>
      <c r="J45" s="80"/>
      <c r="K45" s="80"/>
      <c r="L45" s="80"/>
      <c r="M45" s="80"/>
      <c r="N45" s="80"/>
      <c r="O45" s="80"/>
      <c r="P45" s="80"/>
      <c r="Q45" s="80"/>
      <c r="R45" s="80"/>
      <c r="S45" s="80"/>
      <c r="T45" s="80"/>
      <c r="U45" s="80"/>
      <c r="V45" s="80"/>
      <c r="W45" s="247" t="str">
        <f>IF($Y45&lt;&gt;0,"May be restricted by annual contribution limits ==&gt;","")</f>
        <v/>
      </c>
      <c r="X45" s="254">
        <v>0</v>
      </c>
      <c r="Y45" s="199">
        <f t="shared" si="6"/>
        <v>0</v>
      </c>
      <c r="Z45" s="88">
        <f>IF(VLOOKUP($E45,CYCLES!$E$4:$N$45, IF($V$5=1,2,IF($V$5=2,3,IF($V$5=3,4,IF($V$5=5,6,1)))),FALSE)="X",$Y45,0)</f>
        <v>0</v>
      </c>
      <c r="AA45" s="88">
        <f>IF(VLOOKUP($E45,PRIORITIES!$E$5:$H$46,4,FALSE)&gt;0,$Z45,0)</f>
        <v>0</v>
      </c>
      <c r="AB45" s="81"/>
      <c r="AC45" s="73"/>
      <c r="AD45" s="74"/>
    </row>
    <row r="46" spans="1:30" x14ac:dyDescent="0.25">
      <c r="A46" s="74"/>
      <c r="B46" s="73"/>
      <c r="C46" s="78"/>
      <c r="D46" s="80"/>
      <c r="E46" s="189" t="s">
        <v>121</v>
      </c>
      <c r="F46" s="187"/>
      <c r="G46" s="187"/>
      <c r="H46" s="187"/>
      <c r="I46" s="187"/>
      <c r="J46" s="187"/>
      <c r="K46" s="187"/>
      <c r="L46" s="187"/>
      <c r="M46" s="187"/>
      <c r="N46" s="187"/>
      <c r="O46" s="187"/>
      <c r="P46" s="187"/>
      <c r="Q46" s="187"/>
      <c r="R46" s="187"/>
      <c r="S46" s="187"/>
      <c r="T46" s="187"/>
      <c r="U46" s="187"/>
      <c r="V46" s="187"/>
      <c r="W46" s="187"/>
      <c r="X46" s="187"/>
      <c r="Y46" s="188">
        <f>SUM(Y32:Y45)</f>
        <v>0</v>
      </c>
      <c r="Z46" s="188">
        <f>SUM(Z32:Z45)</f>
        <v>0</v>
      </c>
      <c r="AA46" s="188">
        <f>SUM(AA34:AA45)</f>
        <v>0</v>
      </c>
      <c r="AB46" s="81"/>
      <c r="AC46" s="73"/>
      <c r="AD46" s="74"/>
    </row>
    <row r="47" spans="1:30" ht="15.75" thickBot="1" x14ac:dyDescent="0.3">
      <c r="A47" s="74"/>
      <c r="B47" s="73"/>
      <c r="C47" s="78"/>
      <c r="D47" s="80"/>
      <c r="E47" s="83"/>
      <c r="F47" s="80"/>
      <c r="G47" s="80"/>
      <c r="H47" s="80"/>
      <c r="I47" s="80"/>
      <c r="J47" s="80"/>
      <c r="K47" s="80"/>
      <c r="L47" s="80"/>
      <c r="M47" s="80"/>
      <c r="N47" s="80"/>
      <c r="O47" s="80"/>
      <c r="P47" s="80"/>
      <c r="Q47" s="80"/>
      <c r="R47" s="80"/>
      <c r="S47" s="80"/>
      <c r="T47" s="80"/>
      <c r="U47" s="80"/>
      <c r="V47" s="80"/>
      <c r="W47" s="80"/>
      <c r="X47" s="80"/>
      <c r="Y47" s="180"/>
      <c r="Z47" s="180"/>
      <c r="AA47" s="180"/>
      <c r="AB47" s="81"/>
      <c r="AC47" s="73"/>
      <c r="AD47" s="74"/>
    </row>
    <row r="48" spans="1:30" ht="23.25" x14ac:dyDescent="0.25">
      <c r="A48" s="74"/>
      <c r="B48" s="73"/>
      <c r="C48" s="78"/>
      <c r="D48" s="99" t="s">
        <v>10</v>
      </c>
      <c r="E48" s="99"/>
      <c r="F48" s="174"/>
      <c r="G48" s="103" t="s">
        <v>130</v>
      </c>
      <c r="H48" s="104" t="s">
        <v>127</v>
      </c>
      <c r="I48" s="104" t="s">
        <v>490</v>
      </c>
      <c r="J48" s="175"/>
      <c r="K48" s="104" t="s">
        <v>488</v>
      </c>
      <c r="L48" s="175"/>
      <c r="M48" s="175"/>
      <c r="N48" s="175" t="s">
        <v>484</v>
      </c>
      <c r="O48" s="175"/>
      <c r="P48" s="175"/>
      <c r="Q48" s="175"/>
      <c r="R48" s="175" t="s">
        <v>485</v>
      </c>
      <c r="S48" s="649" t="s">
        <v>486</v>
      </c>
      <c r="T48" s="175"/>
      <c r="U48" s="175" t="s">
        <v>487</v>
      </c>
      <c r="V48" s="104" t="s">
        <v>126</v>
      </c>
      <c r="W48" s="689" t="s">
        <v>545</v>
      </c>
      <c r="X48" s="110" t="s">
        <v>266</v>
      </c>
      <c r="Y48" s="277"/>
      <c r="Z48" s="277"/>
      <c r="AA48" s="277"/>
      <c r="AB48" s="81"/>
      <c r="AC48" s="73"/>
      <c r="AD48" s="74"/>
    </row>
    <row r="49" spans="1:30" x14ac:dyDescent="0.25">
      <c r="A49" s="74"/>
      <c r="B49" s="73"/>
      <c r="C49" s="78"/>
      <c r="D49" s="80">
        <v>2</v>
      </c>
      <c r="E49" s="165" t="s">
        <v>1</v>
      </c>
      <c r="F49" s="170"/>
      <c r="G49" s="264" t="s">
        <v>105</v>
      </c>
      <c r="H49" s="262" t="s">
        <v>7</v>
      </c>
      <c r="I49" s="684" t="s">
        <v>497</v>
      </c>
      <c r="J49" s="166"/>
      <c r="K49" s="256">
        <v>1</v>
      </c>
      <c r="L49" s="166"/>
      <c r="M49" s="166"/>
      <c r="N49" s="679" t="s">
        <v>105</v>
      </c>
      <c r="O49" s="166"/>
      <c r="P49" s="166"/>
      <c r="Q49" s="166"/>
      <c r="R49" s="686">
        <v>0</v>
      </c>
      <c r="S49" s="686">
        <v>0</v>
      </c>
      <c r="T49" s="166"/>
      <c r="U49" s="687">
        <v>0</v>
      </c>
      <c r="V49" s="688">
        <v>0</v>
      </c>
      <c r="W49" s="279"/>
      <c r="X49" s="682">
        <v>0</v>
      </c>
      <c r="Y49" s="276">
        <f>'TAX TABLES'!F137</f>
        <v>0</v>
      </c>
      <c r="Z49" s="276">
        <f>IF(VLOOKUP($E49,CYCLES!$E$4:$N$45, IF($V$5=1,2,IF($V$5=2,3,IF($V$5=3,4,IF($V$5=5,6,1)))),FALSE)="X",$Y49,0)</f>
        <v>0</v>
      </c>
      <c r="AA49" s="276">
        <f>IF(VLOOKUP($E49,PRIORITIES!$E$5:$H$46,4,FALSE)&gt;0,$Z49,0)</f>
        <v>0</v>
      </c>
      <c r="AB49" s="81"/>
      <c r="AC49" s="73"/>
      <c r="AD49" s="74"/>
    </row>
    <row r="50" spans="1:30" ht="15.75" thickBot="1" x14ac:dyDescent="0.3">
      <c r="A50" s="74"/>
      <c r="B50" s="73"/>
      <c r="C50" s="78"/>
      <c r="D50" s="80">
        <v>3</v>
      </c>
      <c r="E50" s="165" t="s">
        <v>2</v>
      </c>
      <c r="F50" s="170"/>
      <c r="G50" s="265" t="s">
        <v>105</v>
      </c>
      <c r="H50" s="105"/>
      <c r="I50" s="680"/>
      <c r="J50" s="85"/>
      <c r="K50" s="105"/>
      <c r="L50" s="85"/>
      <c r="M50" s="85"/>
      <c r="N50" s="105"/>
      <c r="O50" s="85"/>
      <c r="P50" s="85"/>
      <c r="Q50" s="85"/>
      <c r="R50" s="105"/>
      <c r="S50" s="105"/>
      <c r="T50" s="105"/>
      <c r="U50" s="105"/>
      <c r="V50" s="681">
        <v>0</v>
      </c>
      <c r="W50" s="683">
        <v>2.5000000000000001E-2</v>
      </c>
      <c r="X50" s="259">
        <v>0</v>
      </c>
      <c r="Y50" s="276">
        <f>ROUND((IF(FederalTaxableWage&lt;0,0,IF($G50="Yes",0,ROUND(  (FederalTaxableWage*$W50+$V50),2)))+$X50),2)</f>
        <v>0</v>
      </c>
      <c r="Z50" s="276">
        <f>IF(VLOOKUP($E50,CYCLES!$E$4:$N$45, IF($V$5=1,2,IF($V$5=2,3,IF($V$5=3,4,IF($V$5=5,6,1)))),FALSE)="X",$Y50,0)</f>
        <v>0</v>
      </c>
      <c r="AA50" s="276">
        <f>IF(VLOOKUP($E50,PRIORITIES!$E$5:$H$46,4,FALSE)&gt;0,$Z50,0)</f>
        <v>0</v>
      </c>
      <c r="AB50" s="81"/>
      <c r="AC50" s="73"/>
      <c r="AD50" s="74"/>
    </row>
    <row r="51" spans="1:30" ht="15.75" thickBot="1" x14ac:dyDescent="0.3">
      <c r="A51" s="74"/>
      <c r="B51" s="73"/>
      <c r="C51" s="78"/>
      <c r="D51" s="80">
        <v>1</v>
      </c>
      <c r="E51" s="165" t="s">
        <v>3</v>
      </c>
      <c r="F51" s="170"/>
      <c r="G51" s="217" t="s">
        <v>137</v>
      </c>
      <c r="H51" s="153">
        <f>'TAX TABLES'!$F$158</f>
        <v>147000</v>
      </c>
      <c r="I51" s="685" t="s">
        <v>125</v>
      </c>
      <c r="J51" s="85"/>
      <c r="K51" s="272">
        <v>0</v>
      </c>
      <c r="L51" s="85"/>
      <c r="M51" s="85"/>
      <c r="N51" s="85"/>
      <c r="O51" s="85"/>
      <c r="P51" s="85"/>
      <c r="Q51" s="85"/>
      <c r="R51" s="85"/>
      <c r="S51" s="85"/>
      <c r="T51" s="85"/>
      <c r="U51" s="85"/>
      <c r="V51" s="154">
        <f>'TAX TABLES'!$H$158</f>
        <v>6.2E-2</v>
      </c>
      <c r="W51" s="166"/>
      <c r="X51" s="254">
        <v>0</v>
      </c>
      <c r="Y51" s="276">
        <f>ROUND( ((IF($K51&gt;=$H51,0,        MIN(FICATaxable,$H51-$K51)*$V51))+$X51),2)</f>
        <v>0</v>
      </c>
      <c r="Z51" s="276">
        <f>IF(VLOOKUP($E51,CYCLES!$E$4:$N$45, IF($V$5=1,2,IF($V$5=2,3,IF($V$5=3,4,IF($V$5=5,6,1)))),FALSE)="X",$Y51,0)</f>
        <v>0</v>
      </c>
      <c r="AA51" s="276">
        <f>IF(VLOOKUP($E51,PRIORITIES!$E$5:$H$46,4,FALSE)&gt;0,$Z51,0)</f>
        <v>0</v>
      </c>
      <c r="AB51" s="81"/>
      <c r="AC51" s="73"/>
      <c r="AD51" s="74"/>
    </row>
    <row r="52" spans="1:30" x14ac:dyDescent="0.25">
      <c r="A52" s="74"/>
      <c r="B52" s="73"/>
      <c r="C52" s="78"/>
      <c r="D52" s="80">
        <v>1</v>
      </c>
      <c r="E52" s="95" t="s">
        <v>4</v>
      </c>
      <c r="F52" s="80"/>
      <c r="G52" s="216" t="s">
        <v>138</v>
      </c>
      <c r="H52" s="208">
        <f>'TAX TABLES'!$F$160</f>
        <v>200000</v>
      </c>
      <c r="I52" s="166"/>
      <c r="J52" s="166"/>
      <c r="K52" s="166"/>
      <c r="L52" s="166"/>
      <c r="M52" s="166"/>
      <c r="N52" s="166"/>
      <c r="O52" s="166"/>
      <c r="P52" s="166"/>
      <c r="Q52" s="166"/>
      <c r="R52" s="166"/>
      <c r="S52" s="166"/>
      <c r="T52" s="166"/>
      <c r="U52" s="209" t="s">
        <v>124</v>
      </c>
      <c r="V52" s="210">
        <f>'TAX TABLES'!$H$160</f>
        <v>1.4500000000000001E-2</v>
      </c>
      <c r="W52" s="650"/>
      <c r="X52" s="254">
        <v>0</v>
      </c>
      <c r="Y52" s="88">
        <f>ROUND((  (IF($H$53&gt;=$H$52,0,        IF($H$53+FICATaxable&lt;$H$52,FICATaxable*$V$52,     ($H$52-$H$53)*$V$52+0)))    +
   (IF($H$53&gt;=$H$52,FICATaxable*$V$53,        IF($H$53+FICATaxable&lt;$H$52,0,    0+(FICATaxable-($H$52-$H$53))*$V$53)) )+$X52),2)</f>
        <v>0</v>
      </c>
      <c r="Z52" s="88">
        <f>IF(VLOOKUP($E52,CYCLES!$E$4:$N$45, IF($V$5=1,2,IF($V$5=2,3,IF($V$5=3,4,IF($V$5=5,6,1)))),FALSE)="X",$Y52,0)</f>
        <v>0</v>
      </c>
      <c r="AA52" s="88">
        <f>IF(VLOOKUP($E52,PRIORITIES!$E$5:$H$46,4,FALSE)&gt;0,$Z52,0)</f>
        <v>0</v>
      </c>
      <c r="AB52" s="81"/>
      <c r="AC52" s="73"/>
      <c r="AD52" s="74"/>
    </row>
    <row r="53" spans="1:30" ht="15.75" outlineLevel="1" thickBot="1" x14ac:dyDescent="0.3">
      <c r="A53" s="74"/>
      <c r="B53" s="73"/>
      <c r="C53" s="78"/>
      <c r="D53" s="80"/>
      <c r="E53" s="95"/>
      <c r="F53" s="80"/>
      <c r="G53" s="652" t="s">
        <v>125</v>
      </c>
      <c r="H53" s="653">
        <v>0</v>
      </c>
      <c r="I53" s="85"/>
      <c r="J53" s="85"/>
      <c r="K53" s="85"/>
      <c r="L53" s="85"/>
      <c r="M53" s="85"/>
      <c r="N53" s="85"/>
      <c r="O53" s="85"/>
      <c r="P53" s="85"/>
      <c r="Q53" s="85"/>
      <c r="R53" s="85"/>
      <c r="S53" s="85"/>
      <c r="T53" s="85"/>
      <c r="U53" s="654" t="s">
        <v>123</v>
      </c>
      <c r="V53" s="655">
        <f>'TAX TABLES'!$H$161</f>
        <v>2.35E-2</v>
      </c>
      <c r="W53" s="80"/>
      <c r="X53" s="81"/>
      <c r="Y53" s="200"/>
      <c r="Z53" s="200"/>
      <c r="AA53" s="201"/>
      <c r="AB53" s="81"/>
      <c r="AC53" s="73"/>
      <c r="AD53" s="74"/>
    </row>
    <row r="54" spans="1:30" x14ac:dyDescent="0.25">
      <c r="A54" s="74"/>
      <c r="B54" s="73"/>
      <c r="C54" s="78"/>
      <c r="D54" s="80"/>
      <c r="E54" s="186" t="s">
        <v>11</v>
      </c>
      <c r="F54" s="187"/>
      <c r="G54" s="651"/>
      <c r="H54" s="651"/>
      <c r="I54" s="651"/>
      <c r="J54" s="651"/>
      <c r="K54" s="651"/>
      <c r="L54" s="651"/>
      <c r="M54" s="651"/>
      <c r="N54" s="651"/>
      <c r="O54" s="651"/>
      <c r="P54" s="651"/>
      <c r="Q54" s="651"/>
      <c r="R54" s="651"/>
      <c r="S54" s="651"/>
      <c r="T54" s="651"/>
      <c r="U54" s="651"/>
      <c r="V54" s="651"/>
      <c r="W54" s="187"/>
      <c r="X54" s="187"/>
      <c r="Y54" s="188">
        <f>SUM(Y47:Y53)</f>
        <v>0</v>
      </c>
      <c r="Z54" s="188">
        <f>SUM(Z47:Z53)</f>
        <v>0</v>
      </c>
      <c r="AA54" s="188">
        <f>SUM(AA47:AA53)</f>
        <v>0</v>
      </c>
      <c r="AB54" s="81"/>
      <c r="AC54" s="73"/>
      <c r="AD54" s="74"/>
    </row>
    <row r="55" spans="1:30" x14ac:dyDescent="0.25">
      <c r="A55" s="74"/>
      <c r="B55" s="73"/>
      <c r="C55" s="78"/>
      <c r="D55" s="80"/>
      <c r="E55" s="83"/>
      <c r="F55" s="80"/>
      <c r="G55" s="80"/>
      <c r="H55" s="80"/>
      <c r="I55" s="80"/>
      <c r="J55" s="80"/>
      <c r="K55" s="80"/>
      <c r="L55" s="80"/>
      <c r="M55" s="80"/>
      <c r="N55" s="80"/>
      <c r="O55" s="80"/>
      <c r="P55" s="80"/>
      <c r="Q55" s="80"/>
      <c r="R55" s="80"/>
      <c r="S55" s="80"/>
      <c r="T55" s="80"/>
      <c r="U55" s="80"/>
      <c r="V55" s="87"/>
      <c r="W55" s="80"/>
      <c r="X55" s="80"/>
      <c r="Y55" s="180"/>
      <c r="Z55" s="180"/>
      <c r="AA55" s="180"/>
      <c r="AB55" s="81"/>
      <c r="AC55" s="73"/>
      <c r="AD55" s="74"/>
    </row>
    <row r="56" spans="1:30" x14ac:dyDescent="0.25">
      <c r="A56" s="74"/>
      <c r="B56" s="73"/>
      <c r="C56" s="78"/>
      <c r="D56" s="99" t="s">
        <v>119</v>
      </c>
      <c r="E56" s="100"/>
      <c r="F56" s="110"/>
      <c r="G56" s="110"/>
      <c r="H56" s="110"/>
      <c r="I56" s="110"/>
      <c r="J56" s="110"/>
      <c r="K56" s="110"/>
      <c r="L56" s="110"/>
      <c r="M56" s="110"/>
      <c r="N56" s="110"/>
      <c r="O56" s="110"/>
      <c r="P56" s="110"/>
      <c r="Q56" s="110"/>
      <c r="R56" s="110"/>
      <c r="S56" s="110"/>
      <c r="T56" s="110"/>
      <c r="U56" s="110"/>
      <c r="V56" s="110"/>
      <c r="W56" s="97"/>
      <c r="X56" s="174"/>
      <c r="Y56" s="277"/>
      <c r="Z56" s="277"/>
      <c r="AA56" s="277"/>
      <c r="AB56" s="81"/>
      <c r="AC56" s="73"/>
      <c r="AD56" s="74"/>
    </row>
    <row r="57" spans="1:30" ht="39.75" customHeight="1" x14ac:dyDescent="0.25">
      <c r="A57" s="74"/>
      <c r="B57" s="73"/>
      <c r="C57" s="78"/>
      <c r="D57" s="82"/>
      <c r="E57" s="94"/>
      <c r="F57" s="89"/>
      <c r="G57" s="89"/>
      <c r="H57" s="110" t="s">
        <v>205</v>
      </c>
      <c r="I57" s="110" t="s">
        <v>202</v>
      </c>
      <c r="J57" s="211" t="s">
        <v>257</v>
      </c>
      <c r="K57" s="211" t="s">
        <v>256</v>
      </c>
      <c r="L57" s="211" t="s">
        <v>271</v>
      </c>
      <c r="M57" s="211" t="s">
        <v>258</v>
      </c>
      <c r="N57" s="211" t="str">
        <f>"4. Federal Minimum Wage "&amp;DOLLAR('TAX TABLES'!$E$169)&amp;" x 60Hrs"</f>
        <v>4. Federal Minimum Wage $7.25 x 60Hrs</v>
      </c>
      <c r="O57" s="211" t="str">
        <f>"5. Disposable less Exempt Amount (Non Exempt Earnings)"</f>
        <v>5. Disposable less Exempt Amount (Non Exempt Earnings)</v>
      </c>
      <c r="P57" s="211" t="s">
        <v>259</v>
      </c>
      <c r="Q57" s="211" t="s">
        <v>261</v>
      </c>
      <c r="R57" s="211" t="s">
        <v>262</v>
      </c>
      <c r="S57" s="211" t="s">
        <v>263</v>
      </c>
      <c r="T57" s="211" t="s">
        <v>264</v>
      </c>
      <c r="U57" s="211" t="s">
        <v>272</v>
      </c>
      <c r="V57" s="211" t="s">
        <v>169</v>
      </c>
      <c r="W57" s="211" t="s">
        <v>255</v>
      </c>
      <c r="X57" s="110" t="s">
        <v>266</v>
      </c>
      <c r="Y57" s="279"/>
      <c r="Z57" s="279"/>
      <c r="AA57" s="279"/>
      <c r="AB57" s="81"/>
      <c r="AC57" s="73"/>
      <c r="AD57" s="74"/>
    </row>
    <row r="58" spans="1:30" x14ac:dyDescent="0.25">
      <c r="A58" s="74"/>
      <c r="B58" s="73"/>
      <c r="C58" s="78"/>
      <c r="D58" s="150">
        <v>5</v>
      </c>
      <c r="E58" s="169" t="s">
        <v>215</v>
      </c>
      <c r="F58" s="166"/>
      <c r="G58" s="166"/>
      <c r="H58" s="166"/>
      <c r="I58" s="166"/>
      <c r="J58" s="166"/>
      <c r="K58" s="166"/>
      <c r="L58" s="166"/>
      <c r="M58" s="166"/>
      <c r="N58" s="166"/>
      <c r="O58" s="166"/>
      <c r="P58" s="166"/>
      <c r="Q58" s="166"/>
      <c r="R58" s="166"/>
      <c r="S58" s="166"/>
      <c r="T58" s="166"/>
      <c r="U58" s="166"/>
      <c r="V58" s="166"/>
      <c r="W58" s="173"/>
      <c r="X58" s="254">
        <v>0</v>
      </c>
      <c r="Y58" s="275">
        <f>ROUND($X58,2)</f>
        <v>0</v>
      </c>
      <c r="Z58" s="276">
        <f>IF(VLOOKUP($E58,CYCLES!$E$4:$N$45, IF($V$5=1,2,IF($V$5=2,3,IF($V$5=3,4,IF($V$5=5,6,1)))),FALSE)="X",$Y58,0)</f>
        <v>0</v>
      </c>
      <c r="AA58" s="276">
        <f>IF(VLOOKUP($E58,PRIORITIES!$E$5:$H$46,4,FALSE)&gt;0,$Z58,0)</f>
        <v>0</v>
      </c>
      <c r="AB58" s="81"/>
      <c r="AC58" s="73"/>
      <c r="AD58" s="74"/>
    </row>
    <row r="59" spans="1:30" x14ac:dyDescent="0.25">
      <c r="A59" s="74"/>
      <c r="B59" s="73"/>
      <c r="C59" s="78"/>
      <c r="D59" s="150">
        <v>5</v>
      </c>
      <c r="E59" s="169" t="s">
        <v>216</v>
      </c>
      <c r="F59" s="166"/>
      <c r="G59" s="166"/>
      <c r="H59" s="80"/>
      <c r="I59" s="80"/>
      <c r="J59" s="166"/>
      <c r="K59" s="166"/>
      <c r="L59" s="166"/>
      <c r="M59" s="166"/>
      <c r="N59" s="166"/>
      <c r="O59" s="166"/>
      <c r="P59" s="166"/>
      <c r="Q59" s="166"/>
      <c r="R59" s="166"/>
      <c r="S59" s="166"/>
      <c r="T59" s="166"/>
      <c r="U59" s="177"/>
      <c r="V59" s="177"/>
      <c r="W59" s="173"/>
      <c r="X59" s="254">
        <v>0</v>
      </c>
      <c r="Y59" s="275">
        <f>ROUND($X59,2)</f>
        <v>0</v>
      </c>
      <c r="Z59" s="276">
        <f>IF(VLOOKUP($E59,CYCLES!$E$4:$N$45, IF($V$5=1,2,IF($V$5=2,3,IF($V$5=3,4,IF($V$5=5,6,1)))),FALSE)="X",$Y59,0)</f>
        <v>0</v>
      </c>
      <c r="AA59" s="276">
        <f>IF(VLOOKUP($E59,PRIORITIES!$E$5:$H$46,4,FALSE)&gt;0,$Z59,0)</f>
        <v>0</v>
      </c>
      <c r="AB59" s="81"/>
      <c r="AC59" s="73"/>
      <c r="AD59" s="74"/>
    </row>
    <row r="60" spans="1:30" ht="18" customHeight="1" x14ac:dyDescent="0.25">
      <c r="A60" s="74"/>
      <c r="B60" s="73"/>
      <c r="C60" s="78"/>
      <c r="D60" s="150">
        <v>1</v>
      </c>
      <c r="E60" s="169" t="s">
        <v>254</v>
      </c>
      <c r="F60" s="171"/>
      <c r="G60" s="171"/>
      <c r="H60" s="203"/>
      <c r="I60" s="203"/>
      <c r="J60" s="212">
        <f t="shared" ref="J60:J66" si="7">$AA$31</f>
        <v>0</v>
      </c>
      <c r="K60" s="212">
        <f t="shared" ref="K60:K66" si="8">DisposableIncomeBKSOCG</f>
        <v>0</v>
      </c>
      <c r="L60" s="213">
        <v>0.6</v>
      </c>
      <c r="M60" s="212">
        <f>ROUND($K60*$L60,2)</f>
        <v>0</v>
      </c>
      <c r="N60" s="212">
        <f>ROUND((-'TAX TABLES'!$E$169*60),2)</f>
        <v>-435</v>
      </c>
      <c r="O60" s="212">
        <f>IF(-$N60&gt;$K60,0,$K60+$N60)</f>
        <v>0</v>
      </c>
      <c r="P60" s="212">
        <f>IF( AND($M60&gt;0,$O60&gt;0),MIN($M60,$O60),0)</f>
        <v>0</v>
      </c>
      <c r="Q60" s="214"/>
      <c r="R60" s="212">
        <f>IF($Q60&gt;$P60,0,$P60-$Q60)</f>
        <v>0</v>
      </c>
      <c r="S60" s="212">
        <f t="shared" ref="S60:S66" si="9">ROUND((                   IF(    ($V60&lt;$L60),      ($K60*$V60),    0)                         ),2)</f>
        <v>0</v>
      </c>
      <c r="T60" s="212">
        <f t="shared" ref="T60:T66" si="10" xml:space="preserve">  IF(  AND($V60=0,$W60=0),  0,   MIN( $R60,  IF($S60&gt;0,$S60,$R60),  IF($U60&gt;0,$U60,$R60),  IF($W60&gt;0,$W60,$R60)))</f>
        <v>0</v>
      </c>
      <c r="U60" s="204"/>
      <c r="V60" s="258">
        <v>0</v>
      </c>
      <c r="W60" s="257">
        <v>0</v>
      </c>
      <c r="X60" s="254">
        <v>0</v>
      </c>
      <c r="Y60" s="275">
        <f>ROUND((T60+$X60),2)</f>
        <v>0</v>
      </c>
      <c r="Z60" s="276">
        <f>IF(VLOOKUP($E60,CYCLES!$E$4:$N$45, IF($V$5=1,2,IF($V$5=2,3,IF($V$5=3,4,IF($V$5=5,6,1)))),FALSE)="X",$Y60,0)</f>
        <v>0</v>
      </c>
      <c r="AA60" s="276">
        <f>IF(VLOOKUP($E60,PRIORITIES!$E$5:$H$46,4,FALSE)&gt;0,$Z60,0)</f>
        <v>0</v>
      </c>
      <c r="AB60" s="81"/>
      <c r="AC60" s="73"/>
      <c r="AD60" s="74"/>
    </row>
    <row r="61" spans="1:30" ht="18" customHeight="1" x14ac:dyDescent="0.25">
      <c r="A61" s="74"/>
      <c r="B61" s="73"/>
      <c r="C61" s="78"/>
      <c r="D61" s="150">
        <v>2</v>
      </c>
      <c r="E61" s="169" t="s">
        <v>162</v>
      </c>
      <c r="F61" s="171"/>
      <c r="G61" s="171"/>
      <c r="H61" s="139"/>
      <c r="I61" s="280" t="s">
        <v>105</v>
      </c>
      <c r="J61" s="212">
        <f t="shared" si="7"/>
        <v>0</v>
      </c>
      <c r="K61" s="212">
        <f t="shared" si="8"/>
        <v>0</v>
      </c>
      <c r="L61" s="215">
        <f t="shared" ref="L61:L66" si="11">IF( AND( OR($H61="No",ISBLANK($H61)),   OR($I61="No",ISBLANK($I61))   ),0.6,
 IF( AND( OR($H61="No",ISBLANK($H61)),   $I61="Yes" ),0.5,
IF( AND( $H61="Yes",   OR($I61="No",ISBLANK($I61))   ),0.65,
 IF( AND( $H61="Yes", $I61="Yes" ),0.55,
0.6))))</f>
        <v>0.6</v>
      </c>
      <c r="M61" s="212">
        <f t="shared" ref="M61:M70" si="12">ROUND($K61*$L61,2)</f>
        <v>0</v>
      </c>
      <c r="N61" s="212">
        <f>ROUND((-'TAX TABLES'!$E$169*60),2)</f>
        <v>-435</v>
      </c>
      <c r="O61" s="212">
        <f t="shared" ref="O61:O70" si="13">IF(-$N61&gt;$K61,0,$K61+$N61)</f>
        <v>0</v>
      </c>
      <c r="P61" s="212">
        <f t="shared" ref="P61:P66" si="14">IF( AND($M61&gt;0,$O61&gt;0),MIN($M61,$O61),0)</f>
        <v>0</v>
      </c>
      <c r="Q61" s="212">
        <f>SUM($Y$58:$Y$60)</f>
        <v>0</v>
      </c>
      <c r="R61" s="212">
        <f t="shared" ref="R61:R66" si="15">IF($Q61&gt;$P61,0,$P61-$Q61)</f>
        <v>0</v>
      </c>
      <c r="S61" s="212">
        <f t="shared" si="9"/>
        <v>0</v>
      </c>
      <c r="T61" s="212">
        <f xml:space="preserve">  IF(  AND($V61=0,$W61=0),  0,   MIN( $R61,  IF($S61&gt;0,$S61,$R61),  IF($U61&gt;0,$U61,$R61),  IF($W61&gt;0,$W61,$R61)))</f>
        <v>0</v>
      </c>
      <c r="U61" s="257">
        <v>0</v>
      </c>
      <c r="V61" s="258">
        <v>0</v>
      </c>
      <c r="W61" s="257">
        <v>0</v>
      </c>
      <c r="X61" s="259">
        <v>0</v>
      </c>
      <c r="Y61" s="275">
        <f>ROUND(($T61+$X61),2)</f>
        <v>0</v>
      </c>
      <c r="Z61" s="276">
        <f>IF(VLOOKUP($E61,CYCLES!$E$4:$N$45, IF($V$5=1,2,IF($V$5=2,3,IF($V$5=3,4,IF($V$5=5,6,1)))),FALSE)="X",$Y61,0)</f>
        <v>0</v>
      </c>
      <c r="AA61" s="276">
        <f>IF(VLOOKUP($E61,PRIORITIES!$E$5:$H$46,4,FALSE)&gt;0,$Z61,0)</f>
        <v>0</v>
      </c>
      <c r="AB61" s="81"/>
      <c r="AC61" s="73"/>
      <c r="AD61" s="74"/>
    </row>
    <row r="62" spans="1:30" ht="18" customHeight="1" x14ac:dyDescent="0.25">
      <c r="A62" s="74"/>
      <c r="B62" s="73"/>
      <c r="C62" s="78"/>
      <c r="D62" s="150">
        <v>3</v>
      </c>
      <c r="E62" s="169" t="s">
        <v>163</v>
      </c>
      <c r="F62" s="166"/>
      <c r="G62" s="166"/>
      <c r="H62" s="140"/>
      <c r="I62" s="263" t="s">
        <v>105</v>
      </c>
      <c r="J62" s="212">
        <f t="shared" si="7"/>
        <v>0</v>
      </c>
      <c r="K62" s="212">
        <f t="shared" si="8"/>
        <v>0</v>
      </c>
      <c r="L62" s="215">
        <f t="shared" si="11"/>
        <v>0.6</v>
      </c>
      <c r="M62" s="212">
        <f t="shared" si="12"/>
        <v>0</v>
      </c>
      <c r="N62" s="212">
        <f>ROUND((-'TAX TABLES'!$E$169*60),2)</f>
        <v>-435</v>
      </c>
      <c r="O62" s="212">
        <f t="shared" si="13"/>
        <v>0</v>
      </c>
      <c r="P62" s="212">
        <f t="shared" si="14"/>
        <v>0</v>
      </c>
      <c r="Q62" s="212">
        <f>SUM($Y$58:$Y$61)</f>
        <v>0</v>
      </c>
      <c r="R62" s="212">
        <f t="shared" si="15"/>
        <v>0</v>
      </c>
      <c r="S62" s="212">
        <f t="shared" si="9"/>
        <v>0</v>
      </c>
      <c r="T62" s="212">
        <f t="shared" si="10"/>
        <v>0</v>
      </c>
      <c r="U62" s="257">
        <v>0</v>
      </c>
      <c r="V62" s="258">
        <v>0</v>
      </c>
      <c r="W62" s="257">
        <v>0</v>
      </c>
      <c r="X62" s="259">
        <v>0</v>
      </c>
      <c r="Y62" s="275">
        <f t="shared" ref="Y62:Y66" si="16">ROUND(($T62+$X62),2)</f>
        <v>0</v>
      </c>
      <c r="Z62" s="276">
        <f>IF(VLOOKUP($E62,CYCLES!$E$4:$N$45, IF($V$5=1,2,IF($V$5=2,3,IF($V$5=3,4,IF($V$5=5,6,1)))),FALSE)="X",$Y62,0)</f>
        <v>0</v>
      </c>
      <c r="AA62" s="276">
        <f>IF(VLOOKUP($E62,PRIORITIES!$E$5:$H$46,4,FALSE)&gt;0,$Z62,0)</f>
        <v>0</v>
      </c>
      <c r="AB62" s="81"/>
      <c r="AC62" s="73"/>
      <c r="AD62" s="74"/>
    </row>
    <row r="63" spans="1:30" ht="18" customHeight="1" outlineLevel="1" x14ac:dyDescent="0.25">
      <c r="A63" s="74"/>
      <c r="B63" s="73"/>
      <c r="C63" s="78"/>
      <c r="D63" s="150">
        <v>3</v>
      </c>
      <c r="E63" s="169" t="s">
        <v>207</v>
      </c>
      <c r="F63" s="166"/>
      <c r="G63" s="166"/>
      <c r="H63" s="140"/>
      <c r="I63" s="263" t="s">
        <v>105</v>
      </c>
      <c r="J63" s="212">
        <f t="shared" si="7"/>
        <v>0</v>
      </c>
      <c r="K63" s="212">
        <f t="shared" si="8"/>
        <v>0</v>
      </c>
      <c r="L63" s="215">
        <f t="shared" si="11"/>
        <v>0.6</v>
      </c>
      <c r="M63" s="212">
        <f t="shared" si="12"/>
        <v>0</v>
      </c>
      <c r="N63" s="212">
        <f>ROUND((-'TAX TABLES'!$E$169*60),2)</f>
        <v>-435</v>
      </c>
      <c r="O63" s="212">
        <f t="shared" si="13"/>
        <v>0</v>
      </c>
      <c r="P63" s="212">
        <f t="shared" si="14"/>
        <v>0</v>
      </c>
      <c r="Q63" s="212">
        <f>SUM($Y$58:$Y$61)</f>
        <v>0</v>
      </c>
      <c r="R63" s="212">
        <f t="shared" si="15"/>
        <v>0</v>
      </c>
      <c r="S63" s="212">
        <f t="shared" si="9"/>
        <v>0</v>
      </c>
      <c r="T63" s="212">
        <f t="shared" si="10"/>
        <v>0</v>
      </c>
      <c r="U63" s="257">
        <v>0</v>
      </c>
      <c r="V63" s="258">
        <v>0</v>
      </c>
      <c r="W63" s="257">
        <v>0</v>
      </c>
      <c r="X63" s="259">
        <v>0</v>
      </c>
      <c r="Y63" s="275">
        <f t="shared" si="16"/>
        <v>0</v>
      </c>
      <c r="Z63" s="276">
        <f>IF(VLOOKUP($E63,CYCLES!$E$4:$N$45, IF($V$5=1,2,IF($V$5=2,3,IF($V$5=3,4,IF($V$5=5,6,1)))),FALSE)="X",$Y63,0)</f>
        <v>0</v>
      </c>
      <c r="AA63" s="276">
        <f>IF(VLOOKUP($E63,PRIORITIES!$E$5:$H$46,4,FALSE)&gt;0,$Z63,0)</f>
        <v>0</v>
      </c>
      <c r="AB63" s="81"/>
      <c r="AC63" s="73"/>
      <c r="AD63" s="74"/>
    </row>
    <row r="64" spans="1:30" ht="18" customHeight="1" outlineLevel="1" x14ac:dyDescent="0.25">
      <c r="A64" s="74"/>
      <c r="B64" s="73"/>
      <c r="C64" s="78"/>
      <c r="D64" s="150">
        <v>4</v>
      </c>
      <c r="E64" s="169" t="s">
        <v>203</v>
      </c>
      <c r="F64" s="166"/>
      <c r="G64" s="166"/>
      <c r="H64" s="263" t="s">
        <v>105</v>
      </c>
      <c r="I64" s="263" t="s">
        <v>105</v>
      </c>
      <c r="J64" s="212">
        <f t="shared" si="7"/>
        <v>0</v>
      </c>
      <c r="K64" s="212">
        <f t="shared" si="8"/>
        <v>0</v>
      </c>
      <c r="L64" s="215">
        <f t="shared" si="11"/>
        <v>0.6</v>
      </c>
      <c r="M64" s="212">
        <f t="shared" si="12"/>
        <v>0</v>
      </c>
      <c r="N64" s="212">
        <f>ROUND((-'TAX TABLES'!$E$169*60),2)</f>
        <v>-435</v>
      </c>
      <c r="O64" s="212">
        <f t="shared" si="13"/>
        <v>0</v>
      </c>
      <c r="P64" s="212">
        <f>IF( AND($M64&gt;0,$O64&gt;0),MIN($M64,$O64),0)</f>
        <v>0</v>
      </c>
      <c r="Q64" s="212">
        <f>SUM($Y$58:$Y$63)</f>
        <v>0</v>
      </c>
      <c r="R64" s="212">
        <f t="shared" si="15"/>
        <v>0</v>
      </c>
      <c r="S64" s="212">
        <f t="shared" si="9"/>
        <v>0</v>
      </c>
      <c r="T64" s="212">
        <f xml:space="preserve">  IF(  AND($V64=0,$W64=0),  0,   MIN( $R64,  IF($S64&gt;0,$S64,$R64),  IF($U64&gt;0,$U64,$R64),  IF($W64&gt;0,$W64,$R64)))</f>
        <v>0</v>
      </c>
      <c r="U64" s="257">
        <v>0</v>
      </c>
      <c r="V64" s="258">
        <v>0</v>
      </c>
      <c r="W64" s="257">
        <v>0</v>
      </c>
      <c r="X64" s="259">
        <v>0</v>
      </c>
      <c r="Y64" s="275">
        <f t="shared" si="16"/>
        <v>0</v>
      </c>
      <c r="Z64" s="276">
        <f>IF(VLOOKUP($E64,CYCLES!$E$4:$N$45, IF($V$5=1,2,IF($V$5=2,3,IF($V$5=3,4,IF($V$5=5,6,1)))),FALSE)="X",$Y64,0)</f>
        <v>0</v>
      </c>
      <c r="AA64" s="276">
        <f>IF(VLOOKUP($E64,PRIORITIES!$E$5:$H$46,4,FALSE)&gt;0,$Z64,0)</f>
        <v>0</v>
      </c>
      <c r="AB64" s="81"/>
      <c r="AC64" s="73"/>
      <c r="AD64" s="74"/>
    </row>
    <row r="65" spans="1:30" ht="18" customHeight="1" outlineLevel="1" x14ac:dyDescent="0.25">
      <c r="A65" s="74"/>
      <c r="B65" s="73"/>
      <c r="C65" s="78"/>
      <c r="D65" s="150">
        <v>5</v>
      </c>
      <c r="E65" s="169" t="s">
        <v>204</v>
      </c>
      <c r="F65" s="166"/>
      <c r="G65" s="166"/>
      <c r="H65" s="263" t="s">
        <v>105</v>
      </c>
      <c r="I65" s="263" t="s">
        <v>105</v>
      </c>
      <c r="J65" s="212">
        <f t="shared" si="7"/>
        <v>0</v>
      </c>
      <c r="K65" s="212">
        <f t="shared" si="8"/>
        <v>0</v>
      </c>
      <c r="L65" s="215">
        <f t="shared" si="11"/>
        <v>0.6</v>
      </c>
      <c r="M65" s="212">
        <f t="shared" si="12"/>
        <v>0</v>
      </c>
      <c r="N65" s="212">
        <f>ROUND((-'TAX TABLES'!$E$169*60),2)</f>
        <v>-435</v>
      </c>
      <c r="O65" s="212">
        <f t="shared" si="13"/>
        <v>0</v>
      </c>
      <c r="P65" s="212">
        <f t="shared" si="14"/>
        <v>0</v>
      </c>
      <c r="Q65" s="212">
        <f>SUM($Y$58:$Y$64)</f>
        <v>0</v>
      </c>
      <c r="R65" s="212">
        <f t="shared" si="15"/>
        <v>0</v>
      </c>
      <c r="S65" s="212">
        <f t="shared" si="9"/>
        <v>0</v>
      </c>
      <c r="T65" s="212">
        <f t="shared" si="10"/>
        <v>0</v>
      </c>
      <c r="U65" s="257">
        <v>0</v>
      </c>
      <c r="V65" s="258">
        <v>0</v>
      </c>
      <c r="W65" s="257">
        <v>0</v>
      </c>
      <c r="X65" s="259">
        <v>0</v>
      </c>
      <c r="Y65" s="275">
        <f t="shared" si="16"/>
        <v>0</v>
      </c>
      <c r="Z65" s="276">
        <f>IF(VLOOKUP($E65,CYCLES!$E$4:$N$45, IF($V$5=1,2,IF($V$5=2,3,IF($V$5=3,4,IF($V$5=5,6,1)))),FALSE)="X",$Y65,0)</f>
        <v>0</v>
      </c>
      <c r="AA65" s="276">
        <f>IF(VLOOKUP($E65,PRIORITIES!$E$5:$H$46,4,FALSE)&gt;0,$Z65,0)</f>
        <v>0</v>
      </c>
      <c r="AB65" s="81"/>
      <c r="AC65" s="73"/>
      <c r="AD65" s="74"/>
    </row>
    <row r="66" spans="1:30" ht="18" customHeight="1" outlineLevel="1" x14ac:dyDescent="0.25">
      <c r="A66" s="74"/>
      <c r="B66" s="73"/>
      <c r="C66" s="78"/>
      <c r="D66" s="150">
        <v>5</v>
      </c>
      <c r="E66" s="179" t="s">
        <v>208</v>
      </c>
      <c r="F66" s="177"/>
      <c r="G66" s="177"/>
      <c r="H66" s="263" t="s">
        <v>105</v>
      </c>
      <c r="I66" s="263" t="s">
        <v>105</v>
      </c>
      <c r="J66" s="212">
        <f t="shared" si="7"/>
        <v>0</v>
      </c>
      <c r="K66" s="212">
        <f t="shared" si="8"/>
        <v>0</v>
      </c>
      <c r="L66" s="215">
        <f t="shared" si="11"/>
        <v>0.6</v>
      </c>
      <c r="M66" s="212">
        <f t="shared" si="12"/>
        <v>0</v>
      </c>
      <c r="N66" s="212">
        <f>ROUND((-'TAX TABLES'!$E$169*60),2)</f>
        <v>-435</v>
      </c>
      <c r="O66" s="212">
        <f t="shared" si="13"/>
        <v>0</v>
      </c>
      <c r="P66" s="212">
        <f t="shared" si="14"/>
        <v>0</v>
      </c>
      <c r="Q66" s="212">
        <f>SUM($Y$58:$Y$64)</f>
        <v>0</v>
      </c>
      <c r="R66" s="212">
        <f t="shared" si="15"/>
        <v>0</v>
      </c>
      <c r="S66" s="212">
        <f t="shared" si="9"/>
        <v>0</v>
      </c>
      <c r="T66" s="212">
        <f t="shared" si="10"/>
        <v>0</v>
      </c>
      <c r="U66" s="257">
        <v>0</v>
      </c>
      <c r="V66" s="258">
        <v>0</v>
      </c>
      <c r="W66" s="257">
        <v>0</v>
      </c>
      <c r="X66" s="259">
        <v>0</v>
      </c>
      <c r="Y66" s="267">
        <f t="shared" si="16"/>
        <v>0</v>
      </c>
      <c r="Z66" s="269">
        <f>IF(VLOOKUP($E66,CYCLES!$E$4:$N$45, IF($V$5=1,2,IF($V$5=2,3,IF($V$5=3,4,IF($V$5=5,6,1)))),FALSE)="X",$Y66,0)</f>
        <v>0</v>
      </c>
      <c r="AA66" s="269">
        <f>IF(VLOOKUP($E66,PRIORITIES!$E$5:$H$46,4,FALSE)&gt;0,$Z66,0)</f>
        <v>0</v>
      </c>
      <c r="AB66" s="81"/>
      <c r="AC66" s="73"/>
      <c r="AD66" s="74"/>
    </row>
    <row r="67" spans="1:30" ht="40.5" customHeight="1" x14ac:dyDescent="0.25">
      <c r="A67" s="74"/>
      <c r="B67" s="73"/>
      <c r="C67" s="78"/>
      <c r="D67" s="82"/>
      <c r="E67" s="94"/>
      <c r="F67" s="110" t="s">
        <v>194</v>
      </c>
      <c r="G67" s="110" t="s">
        <v>167</v>
      </c>
      <c r="H67" s="110" t="s">
        <v>168</v>
      </c>
      <c r="I67" s="137" t="s">
        <v>201</v>
      </c>
      <c r="J67" s="211" t="s">
        <v>257</v>
      </c>
      <c r="K67" s="211" t="s">
        <v>256</v>
      </c>
      <c r="L67" s="211" t="s">
        <v>271</v>
      </c>
      <c r="M67" s="211" t="s">
        <v>258</v>
      </c>
      <c r="N67" s="211" t="s">
        <v>260</v>
      </c>
      <c r="O67" s="211" t="str">
        <f>"5. Disposable less Exempt Amount (Non Exempt Earnings)"</f>
        <v>5. Disposable less Exempt Amount (Non Exempt Earnings)</v>
      </c>
      <c r="P67" s="211" t="s">
        <v>259</v>
      </c>
      <c r="Q67" s="211" t="s">
        <v>261</v>
      </c>
      <c r="R67" s="211" t="s">
        <v>262</v>
      </c>
      <c r="S67" s="211" t="s">
        <v>263</v>
      </c>
      <c r="T67" s="211" t="s">
        <v>264</v>
      </c>
      <c r="U67" s="211" t="s">
        <v>272</v>
      </c>
      <c r="V67" s="211" t="s">
        <v>169</v>
      </c>
      <c r="W67" s="211" t="s">
        <v>255</v>
      </c>
      <c r="X67" s="110" t="s">
        <v>266</v>
      </c>
      <c r="Y67" s="277"/>
      <c r="Z67" s="277"/>
      <c r="AA67" s="277"/>
      <c r="AB67" s="81"/>
      <c r="AC67" s="73"/>
      <c r="AD67" s="74"/>
    </row>
    <row r="68" spans="1:30" ht="24" customHeight="1" x14ac:dyDescent="0.25">
      <c r="A68" s="74"/>
      <c r="B68" s="73"/>
      <c r="C68" s="78"/>
      <c r="D68" s="150">
        <v>6</v>
      </c>
      <c r="E68" s="169" t="s">
        <v>209</v>
      </c>
      <c r="F68" s="261">
        <v>2023</v>
      </c>
      <c r="G68" s="261" t="s">
        <v>6</v>
      </c>
      <c r="H68" s="262">
        <v>1</v>
      </c>
      <c r="I68" s="262">
        <v>0</v>
      </c>
      <c r="J68" s="212">
        <f>$AA$31</f>
        <v>0</v>
      </c>
      <c r="K68" s="212">
        <f>DisposableIncomeTaxLevy</f>
        <v>0</v>
      </c>
      <c r="L68" s="213">
        <v>1</v>
      </c>
      <c r="M68" s="212">
        <f t="shared" si="12"/>
        <v>0</v>
      </c>
      <c r="N68" s="212">
        <f>-('LEVY TABLES'!$B$37+'LEVY TABLES'!$B$38*$H$68)-(IF($I$68=1,'LEVY TABLES'!$B$39,IF($I$68=2,'LEVY TABLES'!$B$40,IF($I$68=3,'LEVY TABLES'!$B$41,IF($I$68&gt;3,'LEVY TABLES'!$B$42,0)))))</f>
        <v>-713.46</v>
      </c>
      <c r="O68" s="212">
        <f t="shared" si="13"/>
        <v>0</v>
      </c>
      <c r="P68" s="212">
        <f t="shared" ref="P68:P70" si="17">IF( AND($M68&gt;0,$O68&gt;0),MIN($M68,$O68),0)</f>
        <v>0</v>
      </c>
      <c r="Q68" s="212">
        <f>SUM($Y$58:$Y$67)</f>
        <v>0</v>
      </c>
      <c r="R68" s="212">
        <f t="shared" ref="R68:R70" si="18">IF($Q68&gt;$P68,0,$P68-$Q68)</f>
        <v>0</v>
      </c>
      <c r="S68" s="212">
        <f>ROUND((                   IF(    ($V68&lt;$L68),      ($K68*$V68),    0)                         ),2)</f>
        <v>0</v>
      </c>
      <c r="T68" s="212">
        <f xml:space="preserve">  IF(  AND($V68=0,$W68=0),  0,   MIN( $R68,  IF($S68&gt;0,$S68,$R68),  IF($U68&gt;0,$U68,$R68),  IF($W68&gt;0,$W68,$R68)))</f>
        <v>0</v>
      </c>
      <c r="U68" s="257">
        <v>0</v>
      </c>
      <c r="V68" s="258">
        <v>0</v>
      </c>
      <c r="W68" s="257">
        <v>0</v>
      </c>
      <c r="X68" s="254">
        <v>0</v>
      </c>
      <c r="Y68" s="275">
        <f>ROUND(($T68+$X68),2)</f>
        <v>0</v>
      </c>
      <c r="Z68" s="276">
        <f>IF(VLOOKUP($E68,CYCLES!$E$4:$N$45, IF($V$5=1,2,IF($V$5=2,3,IF($V$5=3,4,IF($V$5=5,6,1)))),FALSE)="X",$Y68,0)</f>
        <v>0</v>
      </c>
      <c r="AA68" s="276">
        <f>IF(VLOOKUP($E68,PRIORITIES!$E$5:$H$46,4,FALSE)&gt;0,$Z68,0)</f>
        <v>0</v>
      </c>
      <c r="AB68" s="81"/>
      <c r="AC68" s="73"/>
      <c r="AD68" s="74"/>
    </row>
    <row r="69" spans="1:30" ht="24" customHeight="1" outlineLevel="1" x14ac:dyDescent="0.25">
      <c r="A69" s="74"/>
      <c r="B69" s="73"/>
      <c r="C69" s="78"/>
      <c r="D69" s="150">
        <v>7</v>
      </c>
      <c r="E69" s="169" t="s">
        <v>210</v>
      </c>
      <c r="F69" s="261">
        <v>2023</v>
      </c>
      <c r="G69" s="261" t="s">
        <v>6</v>
      </c>
      <c r="H69" s="262">
        <v>1</v>
      </c>
      <c r="I69" s="262">
        <v>0</v>
      </c>
      <c r="J69" s="212">
        <f>$AA$31</f>
        <v>0</v>
      </c>
      <c r="K69" s="212">
        <f>DisposableIncomeTaxLevy</f>
        <v>0</v>
      </c>
      <c r="L69" s="213">
        <v>1</v>
      </c>
      <c r="M69" s="212">
        <f t="shared" si="12"/>
        <v>0</v>
      </c>
      <c r="N69" s="212">
        <f>-('LEVY TABLES'!$G$37+'LEVY TABLES'!$G$38*$H$69)-(IF($I$69=1,'LEVY TABLES'!$G$39,IF($I$69=2,'LEVY TABLES'!$G$40,IF($I$69=3,'LEVY TABLES'!$G$41,IF($I$69&gt;3,'LEVY TABLES'!$G$42,0)))))</f>
        <v>-713.46</v>
      </c>
      <c r="O69" s="212">
        <f t="shared" si="13"/>
        <v>0</v>
      </c>
      <c r="P69" s="212">
        <f t="shared" si="17"/>
        <v>0</v>
      </c>
      <c r="Q69" s="212">
        <f>SUM($Y$58:$Y$68)</f>
        <v>0</v>
      </c>
      <c r="R69" s="212">
        <f t="shared" si="18"/>
        <v>0</v>
      </c>
      <c r="S69" s="212">
        <f>ROUND((                   IF(    ($V69&lt;$L69),      ($K69*$V69),    0)                         ),2)</f>
        <v>0</v>
      </c>
      <c r="T69" s="212">
        <f xml:space="preserve">  IF(  AND($V69=0,$W69=0),  0,   MIN( $R69,  IF($S69&gt;0,$S69,$R69),  IF($U69&gt;0,$U69,$R69),  IF($W69&gt;0,$W69,$R69)))</f>
        <v>0</v>
      </c>
      <c r="U69" s="257">
        <v>0</v>
      </c>
      <c r="V69" s="258">
        <v>0</v>
      </c>
      <c r="W69" s="257">
        <v>0</v>
      </c>
      <c r="X69" s="254">
        <v>0</v>
      </c>
      <c r="Y69" s="275">
        <f>ROUND(($T69+$X69),2)</f>
        <v>0</v>
      </c>
      <c r="Z69" s="276">
        <f>IF(VLOOKUP($E69,CYCLES!$E$4:$N$45, IF($V$5=1,2,IF($V$5=2,3,IF($V$5=3,4,IF($V$5=5,6,1)))),FALSE)="X",$Y69,0)</f>
        <v>0</v>
      </c>
      <c r="AA69" s="276">
        <f>IF(VLOOKUP($E69,PRIORITIES!$E$5:$H$46,4,FALSE)&gt;0,$Z69,0)</f>
        <v>0</v>
      </c>
      <c r="AB69" s="81"/>
      <c r="AC69" s="73"/>
      <c r="AD69" s="74"/>
    </row>
    <row r="70" spans="1:30" ht="24" customHeight="1" outlineLevel="1" x14ac:dyDescent="0.25">
      <c r="A70" s="74"/>
      <c r="B70" s="73"/>
      <c r="C70" s="78"/>
      <c r="D70" s="150">
        <v>8</v>
      </c>
      <c r="E70" s="179" t="s">
        <v>211</v>
      </c>
      <c r="F70" s="261">
        <v>2023</v>
      </c>
      <c r="G70" s="261" t="s">
        <v>6</v>
      </c>
      <c r="H70" s="262">
        <v>1</v>
      </c>
      <c r="I70" s="262">
        <v>0</v>
      </c>
      <c r="J70" s="212">
        <f>$AA$31</f>
        <v>0</v>
      </c>
      <c r="K70" s="212">
        <f>DisposableIncomeTaxLevy</f>
        <v>0</v>
      </c>
      <c r="L70" s="213">
        <v>1</v>
      </c>
      <c r="M70" s="212">
        <f t="shared" si="12"/>
        <v>0</v>
      </c>
      <c r="N70" s="212">
        <f>-('LEVY TABLES'!$L$37+'LEVY TABLES'!$L$38*$H$70)-(IF($I$70=1,'LEVY TABLES'!$L$39,IF($I$70=2,'LEVY TABLES'!$L$40,IF($I$70=3,'LEVY TABLES'!$L$41,IF($I$70&gt;3,'LEVY TABLES'!$L$42,0)))))</f>
        <v>-713.46</v>
      </c>
      <c r="O70" s="212">
        <f t="shared" si="13"/>
        <v>0</v>
      </c>
      <c r="P70" s="212">
        <f t="shared" si="17"/>
        <v>0</v>
      </c>
      <c r="Q70" s="212">
        <f>SUM($Y$58:$Y$69)</f>
        <v>0</v>
      </c>
      <c r="R70" s="212">
        <f t="shared" si="18"/>
        <v>0</v>
      </c>
      <c r="S70" s="212">
        <f>ROUND((                   IF(    ($V70&lt;$L70),      ($K70*$V70),    0)                         ),2)</f>
        <v>0</v>
      </c>
      <c r="T70" s="212">
        <f xml:space="preserve">  IF(  AND($V70=0,$W70=0),  0,   MIN( $R70,  IF($S70&gt;0,$S70,$R70),  IF($U70&gt;0,$U70,$R70),  IF($W70&gt;0,$W70,$R70)))</f>
        <v>0</v>
      </c>
      <c r="U70" s="257">
        <v>0</v>
      </c>
      <c r="V70" s="258">
        <v>0</v>
      </c>
      <c r="W70" s="257">
        <v>0</v>
      </c>
      <c r="X70" s="254">
        <v>0</v>
      </c>
      <c r="Y70" s="267">
        <f>ROUND(($T70+$X70),2)</f>
        <v>0</v>
      </c>
      <c r="Z70" s="269">
        <f>IF(VLOOKUP($E70,CYCLES!$E$4:$N$45, IF($V$5=1,2,IF($V$5=2,3,IF($V$5=3,4,IF($V$5=5,6,1)))),FALSE)="X",$Y70,0)</f>
        <v>0</v>
      </c>
      <c r="AA70" s="269">
        <f>IF(VLOOKUP($E70,PRIORITIES!$E$5:$H$46,4,FALSE)&gt;0,$Z70,0)</f>
        <v>0</v>
      </c>
      <c r="AB70" s="81"/>
      <c r="AC70" s="73"/>
      <c r="AD70" s="74"/>
    </row>
    <row r="71" spans="1:30" ht="43.5" customHeight="1" x14ac:dyDescent="0.25">
      <c r="A71" s="74"/>
      <c r="B71" s="73"/>
      <c r="C71" s="78"/>
      <c r="D71" s="150"/>
      <c r="E71" s="206"/>
      <c r="F71" s="207"/>
      <c r="G71" s="207"/>
      <c r="H71" s="706" t="s">
        <v>238</v>
      </c>
      <c r="I71" s="706"/>
      <c r="J71" s="211" t="s">
        <v>257</v>
      </c>
      <c r="K71" s="211" t="s">
        <v>256</v>
      </c>
      <c r="L71" s="211" t="s">
        <v>271</v>
      </c>
      <c r="M71" s="211" t="s">
        <v>258</v>
      </c>
      <c r="N71" s="211" t="str">
        <f>"4. Federal Minimum Wage "&amp;DOLLAR('TAX TABLES'!$E$169)&amp;" x 60Hrs"</f>
        <v>4. Federal Minimum Wage $7.25 x 60Hrs</v>
      </c>
      <c r="O71" s="211" t="str">
        <f>"5. Disposable less Exempt Amount (Non Exempt Earnings)"</f>
        <v>5. Disposable less Exempt Amount (Non Exempt Earnings)</v>
      </c>
      <c r="P71" s="211" t="s">
        <v>259</v>
      </c>
      <c r="Q71" s="211" t="s">
        <v>261</v>
      </c>
      <c r="R71" s="211" t="s">
        <v>262</v>
      </c>
      <c r="S71" s="211" t="s">
        <v>263</v>
      </c>
      <c r="T71" s="211" t="s">
        <v>264</v>
      </c>
      <c r="U71" s="211" t="s">
        <v>272</v>
      </c>
      <c r="V71" s="211" t="s">
        <v>169</v>
      </c>
      <c r="W71" s="211" t="s">
        <v>255</v>
      </c>
      <c r="X71" s="110" t="s">
        <v>266</v>
      </c>
      <c r="Y71" s="277"/>
      <c r="Z71" s="277"/>
      <c r="AA71" s="276"/>
      <c r="AB71" s="81"/>
      <c r="AC71" s="73"/>
      <c r="AD71" s="74"/>
    </row>
    <row r="72" spans="1:30" x14ac:dyDescent="0.25">
      <c r="A72" s="74"/>
      <c r="B72" s="73"/>
      <c r="C72" s="78"/>
      <c r="D72" s="150">
        <v>9</v>
      </c>
      <c r="E72" s="169" t="s">
        <v>234</v>
      </c>
      <c r="F72" s="166"/>
      <c r="G72" s="166"/>
      <c r="H72" s="102"/>
      <c r="I72" s="102"/>
      <c r="J72" s="89"/>
      <c r="K72" s="89"/>
      <c r="L72" s="80"/>
      <c r="M72" s="89"/>
      <c r="N72" s="110"/>
      <c r="O72" s="89"/>
      <c r="P72" s="89"/>
      <c r="Q72" s="89"/>
      <c r="R72" s="89"/>
      <c r="S72" s="89"/>
      <c r="T72" s="89"/>
      <c r="U72" s="80"/>
      <c r="V72" s="80"/>
      <c r="W72" s="173"/>
      <c r="X72" s="254">
        <v>0</v>
      </c>
      <c r="Y72" s="275">
        <f t="shared" ref="Y72" si="19">ROUND($X72,2)</f>
        <v>0</v>
      </c>
      <c r="Z72" s="276">
        <f>IF(VLOOKUP($E72,CYCLES!$E$4:$N$45, IF($V$5=1,2,IF($V$5=2,3,IF($V$5=3,4,IF($V$5=5,6,1)))),FALSE)="X",$Y72,0)</f>
        <v>0</v>
      </c>
      <c r="AA72" s="276">
        <f>IF(VLOOKUP($E72,PRIORITIES!$E$5:$H$46,4,FALSE)&gt;0,$Z72,0)</f>
        <v>0</v>
      </c>
      <c r="AB72" s="81"/>
      <c r="AC72" s="73"/>
      <c r="AD72" s="74"/>
    </row>
    <row r="73" spans="1:30" ht="18" customHeight="1" x14ac:dyDescent="0.25">
      <c r="A73" s="74"/>
      <c r="B73" s="73"/>
      <c r="C73" s="78"/>
      <c r="D73" s="150">
        <v>9</v>
      </c>
      <c r="E73" s="169" t="s">
        <v>229</v>
      </c>
      <c r="F73" s="166"/>
      <c r="G73" s="166"/>
      <c r="H73" s="705" t="s">
        <v>223</v>
      </c>
      <c r="I73" s="705"/>
      <c r="J73" s="212">
        <f>$AA$31</f>
        <v>0</v>
      </c>
      <c r="K73" s="212">
        <f>IF( OR($H73="Admin Wage Garnishment",$H73="Federal Student Loan"),DisposableIncomeFSLAWG,DisposableIncomeBKSOCG)</f>
        <v>0</v>
      </c>
      <c r="L73" s="215">
        <f>IF($H73="Non Fed Student Loan",15%,25%)</f>
        <v>0.25</v>
      </c>
      <c r="M73" s="212">
        <f>ROUND($K73*$L73,2)</f>
        <v>0</v>
      </c>
      <c r="N73" s="212">
        <f>ROUND((-'TAX TABLES'!$E$169*60),2)</f>
        <v>-435</v>
      </c>
      <c r="O73" s="212">
        <f t="shared" ref="O73:O77" si="20">IF(-$N73&gt;$K73,0,$K73+$N73)</f>
        <v>0</v>
      </c>
      <c r="P73" s="212">
        <f t="shared" ref="P73:P77" si="21">IF( AND($M73&gt;0,$O73&gt;0),MIN($M73,$O73),0)</f>
        <v>0</v>
      </c>
      <c r="Q73" s="212">
        <f>SUM($Y$58:$Y$72)</f>
        <v>0</v>
      </c>
      <c r="R73" s="212">
        <f t="shared" ref="R73:R77" si="22">IF($Q73&gt;$P73,0,$P73-$Q73)</f>
        <v>0</v>
      </c>
      <c r="S73" s="212">
        <f>ROUND((                   IF(    ($V73&lt;$L73),      ($K73*$V73),    0)                         ),2)</f>
        <v>0</v>
      </c>
      <c r="T73" s="212">
        <f xml:space="preserve">  IF(  AND($V73=0,$W73=0),  0,   MIN( $R73,  IF($S73&gt;0,$S73,$R73),  IF($U73&gt;0,$U73,$R73),  IF($W73&gt;0,$W73,$R73)))</f>
        <v>0</v>
      </c>
      <c r="U73" s="257">
        <v>0</v>
      </c>
      <c r="V73" s="260">
        <v>0</v>
      </c>
      <c r="W73" s="257">
        <v>0</v>
      </c>
      <c r="X73" s="254">
        <v>0</v>
      </c>
      <c r="Y73" s="275">
        <f>ROUND(($T73+$X73),2)</f>
        <v>0</v>
      </c>
      <c r="Z73" s="276">
        <f>IF(VLOOKUP($E73,CYCLES!$E$4:$N$45, IF($V$5=1,2,IF($V$5=2,3,IF($V$5=3,4,IF($V$5=5,6,1)))),FALSE)="X",$Y73,0)</f>
        <v>0</v>
      </c>
      <c r="AA73" s="276">
        <f>IF(VLOOKUP($E73,PRIORITIES!$E$5:$H$46,4,FALSE)&gt;0,$Z73,0)</f>
        <v>0</v>
      </c>
      <c r="AB73" s="81"/>
      <c r="AC73" s="73"/>
      <c r="AD73" s="74"/>
    </row>
    <row r="74" spans="1:30" ht="18" customHeight="1" outlineLevel="1" x14ac:dyDescent="0.25">
      <c r="A74" s="74"/>
      <c r="B74" s="73"/>
      <c r="C74" s="78"/>
      <c r="D74" s="150">
        <v>9</v>
      </c>
      <c r="E74" s="169" t="s">
        <v>230</v>
      </c>
      <c r="F74" s="166"/>
      <c r="G74" s="166"/>
      <c r="H74" s="705" t="s">
        <v>223</v>
      </c>
      <c r="I74" s="705"/>
      <c r="J74" s="212">
        <f>$AA$31</f>
        <v>0</v>
      </c>
      <c r="K74" s="212">
        <f>IF( OR($H74="Admin Wage Garnishment",$H74="Federal Student Loan"),DisposableIncomeFSLAWG,DisposableIncomeBKSOCG)</f>
        <v>0</v>
      </c>
      <c r="L74" s="215">
        <f>IF($H74="Non Fed Student Loan",15%,25%)</f>
        <v>0.25</v>
      </c>
      <c r="M74" s="212">
        <f t="shared" ref="M74:M77" si="23">ROUND($K74*$L74,2)</f>
        <v>0</v>
      </c>
      <c r="N74" s="212">
        <f>ROUND((-'TAX TABLES'!$E$169*60),2)</f>
        <v>-435</v>
      </c>
      <c r="O74" s="212">
        <f t="shared" si="20"/>
        <v>0</v>
      </c>
      <c r="P74" s="212">
        <f t="shared" si="21"/>
        <v>0</v>
      </c>
      <c r="Q74" s="212">
        <f>SUM($Y$58:$Y$73)</f>
        <v>0</v>
      </c>
      <c r="R74" s="212">
        <f t="shared" si="22"/>
        <v>0</v>
      </c>
      <c r="S74" s="212">
        <f>ROUND((                   IF(    ($V74&lt;$L74),      ($K74*$V74),    0)                         ),2)</f>
        <v>0</v>
      </c>
      <c r="T74" s="212">
        <f xml:space="preserve">  IF(  AND($V74=0,$W74=0),  0,   MIN( $R74,  IF($S74&gt;0,$S74,$R74),  IF($U74&gt;0,$U74,$R74),  IF($W74&gt;0,$W74,$R74)))</f>
        <v>0</v>
      </c>
      <c r="U74" s="257">
        <v>0</v>
      </c>
      <c r="V74" s="260">
        <v>0</v>
      </c>
      <c r="W74" s="257">
        <v>0</v>
      </c>
      <c r="X74" s="254">
        <v>0</v>
      </c>
      <c r="Y74" s="275">
        <f>ROUND(($T74+$X74),2)</f>
        <v>0</v>
      </c>
      <c r="Z74" s="276">
        <f>IF(VLOOKUP($E74,CYCLES!$E$4:$N$45, IF($V$5=1,2,IF($V$5=2,3,IF($V$5=3,4,IF($V$5=5,6,1)))),FALSE)="X",$Y74,0)</f>
        <v>0</v>
      </c>
      <c r="AA74" s="276">
        <f>IF(VLOOKUP($E74,PRIORITIES!$E$5:$H$46,4,FALSE)&gt;0,$Z74,0)</f>
        <v>0</v>
      </c>
      <c r="AB74" s="81"/>
      <c r="AC74" s="73"/>
      <c r="AD74" s="74"/>
    </row>
    <row r="75" spans="1:30" ht="18" customHeight="1" outlineLevel="1" x14ac:dyDescent="0.25">
      <c r="A75" s="74"/>
      <c r="B75" s="73"/>
      <c r="C75" s="78"/>
      <c r="D75" s="150">
        <v>9</v>
      </c>
      <c r="E75" s="169" t="s">
        <v>231</v>
      </c>
      <c r="F75" s="166"/>
      <c r="G75" s="166"/>
      <c r="H75" s="705" t="s">
        <v>223</v>
      </c>
      <c r="I75" s="705"/>
      <c r="J75" s="212">
        <f>$AA$31</f>
        <v>0</v>
      </c>
      <c r="K75" s="212">
        <f>IF( OR($H75="Admin Wage Garnishment",$H75="Federal Student Loan"),DisposableIncomeFSLAWG,DisposableIncomeBKSOCG)</f>
        <v>0</v>
      </c>
      <c r="L75" s="215">
        <f>IF($H75="Non Fed Student Loan",15%,25%)</f>
        <v>0.25</v>
      </c>
      <c r="M75" s="212">
        <f t="shared" si="23"/>
        <v>0</v>
      </c>
      <c r="N75" s="212">
        <f>ROUND((-'TAX TABLES'!$E$169*60),2)</f>
        <v>-435</v>
      </c>
      <c r="O75" s="212">
        <f t="shared" si="20"/>
        <v>0</v>
      </c>
      <c r="P75" s="212">
        <f t="shared" si="21"/>
        <v>0</v>
      </c>
      <c r="Q75" s="212">
        <f>SUM($Y$58:$Y$74)</f>
        <v>0</v>
      </c>
      <c r="R75" s="212">
        <f t="shared" si="22"/>
        <v>0</v>
      </c>
      <c r="S75" s="212">
        <f>ROUND((                   IF(    ($V75&lt;$L75),      ($K75*$V75),    0)                         ),2)</f>
        <v>0</v>
      </c>
      <c r="T75" s="212">
        <f xml:space="preserve">  IF(  AND($V75=0,$W75=0),  0,   MIN( $R75,  IF($S75&gt;0,$S75,$R75),  IF($U75&gt;0,$U75,$R75),  IF($W75&gt;0,$W75,$R75)))</f>
        <v>0</v>
      </c>
      <c r="U75" s="257">
        <v>0</v>
      </c>
      <c r="V75" s="260">
        <v>0</v>
      </c>
      <c r="W75" s="257">
        <v>0</v>
      </c>
      <c r="X75" s="254">
        <v>0</v>
      </c>
      <c r="Y75" s="275">
        <f>ROUND(($T75+$X75),2)</f>
        <v>0</v>
      </c>
      <c r="Z75" s="276">
        <f>IF(VLOOKUP($E75,CYCLES!$E$4:$N$45, IF($V$5=1,2,IF($V$5=2,3,IF($V$5=3,4,IF($V$5=5,6,1)))),FALSE)="X",$Y75,0)</f>
        <v>0</v>
      </c>
      <c r="AA75" s="276">
        <f>IF(VLOOKUP($E75,PRIORITIES!$E$5:$H$46,4,FALSE)&gt;0,$Z75,0)</f>
        <v>0</v>
      </c>
      <c r="AB75" s="81"/>
      <c r="AC75" s="73"/>
      <c r="AD75" s="74"/>
    </row>
    <row r="76" spans="1:30" ht="18" customHeight="1" outlineLevel="1" x14ac:dyDescent="0.25">
      <c r="A76" s="74"/>
      <c r="B76" s="73"/>
      <c r="C76" s="78"/>
      <c r="D76" s="150">
        <v>9</v>
      </c>
      <c r="E76" s="169" t="s">
        <v>232</v>
      </c>
      <c r="F76" s="166"/>
      <c r="G76" s="166"/>
      <c r="H76" s="705" t="s">
        <v>223</v>
      </c>
      <c r="I76" s="705"/>
      <c r="J76" s="212">
        <f>$AA$31</f>
        <v>0</v>
      </c>
      <c r="K76" s="212">
        <f>IF( OR($H76="Admin Wage Garnishment",$H76="Federal Student Loan"),DisposableIncomeFSLAWG,DisposableIncomeBKSOCG)</f>
        <v>0</v>
      </c>
      <c r="L76" s="215">
        <f>IF($H76="Non Fed Student Loan",15%,25%)</f>
        <v>0.25</v>
      </c>
      <c r="M76" s="212">
        <f t="shared" si="23"/>
        <v>0</v>
      </c>
      <c r="N76" s="212">
        <f>ROUND((-'TAX TABLES'!$E$169*60),2)</f>
        <v>-435</v>
      </c>
      <c r="O76" s="212">
        <f t="shared" si="20"/>
        <v>0</v>
      </c>
      <c r="P76" s="212">
        <f t="shared" si="21"/>
        <v>0</v>
      </c>
      <c r="Q76" s="212">
        <f>SUM($Y$58:$Y$75)</f>
        <v>0</v>
      </c>
      <c r="R76" s="212">
        <f t="shared" si="22"/>
        <v>0</v>
      </c>
      <c r="S76" s="212">
        <f>ROUND((                   IF(    ($V76&lt;$L76),      ($K76*$V76),    0)                         ),2)</f>
        <v>0</v>
      </c>
      <c r="T76" s="212">
        <f xml:space="preserve">  IF(  AND($V76=0,$W76=0),  0,   MIN( $R76,  IF($S76&gt;0,$S76,$R76),  IF($U76&gt;0,$U76,$R76),  IF($W76&gt;0,$W76,$R76)))</f>
        <v>0</v>
      </c>
      <c r="U76" s="257">
        <v>0</v>
      </c>
      <c r="V76" s="260">
        <v>0</v>
      </c>
      <c r="W76" s="257">
        <v>0</v>
      </c>
      <c r="X76" s="254">
        <v>0</v>
      </c>
      <c r="Y76" s="275">
        <f>ROUND(($T76+$X76),2)</f>
        <v>0</v>
      </c>
      <c r="Z76" s="276">
        <f>IF(VLOOKUP($E76,CYCLES!$E$4:$N$45, IF($V$5=1,2,IF($V$5=2,3,IF($V$5=3,4,IF($V$5=5,6,1)))),FALSE)="X",$Y76,0)</f>
        <v>0</v>
      </c>
      <c r="AA76" s="276">
        <f>IF(VLOOKUP($E76,PRIORITIES!$E$5:$H$46,4,FALSE)&gt;0,$Z76,0)</f>
        <v>0</v>
      </c>
      <c r="AB76" s="81"/>
      <c r="AC76" s="73"/>
      <c r="AD76" s="74"/>
    </row>
    <row r="77" spans="1:30" ht="18" customHeight="1" outlineLevel="1" x14ac:dyDescent="0.25">
      <c r="A77" s="74"/>
      <c r="B77" s="73"/>
      <c r="C77" s="78"/>
      <c r="D77" s="150">
        <v>9</v>
      </c>
      <c r="E77" s="169" t="s">
        <v>233</v>
      </c>
      <c r="F77" s="166"/>
      <c r="G77" s="166"/>
      <c r="H77" s="705" t="s">
        <v>223</v>
      </c>
      <c r="I77" s="705"/>
      <c r="J77" s="212">
        <f>$AA$31</f>
        <v>0</v>
      </c>
      <c r="K77" s="212">
        <f>IF( OR($H77="Admin Wage Garnishment",$H77="Federal Student Loan"),DisposableIncomeFSLAWG,DisposableIncomeBKSOCG)</f>
        <v>0</v>
      </c>
      <c r="L77" s="215">
        <f>IF($H77="Non Fed Student Loan",15%,25%)</f>
        <v>0.25</v>
      </c>
      <c r="M77" s="212">
        <f t="shared" si="23"/>
        <v>0</v>
      </c>
      <c r="N77" s="212">
        <f>ROUND((-'TAX TABLES'!$E$169*60),2)</f>
        <v>-435</v>
      </c>
      <c r="O77" s="212">
        <f t="shared" si="20"/>
        <v>0</v>
      </c>
      <c r="P77" s="212">
        <f t="shared" si="21"/>
        <v>0</v>
      </c>
      <c r="Q77" s="212">
        <f>SUM($Y$58:$Y$76)</f>
        <v>0</v>
      </c>
      <c r="R77" s="212">
        <f t="shared" si="22"/>
        <v>0</v>
      </c>
      <c r="S77" s="212">
        <f>ROUND((                   IF(    ($V77&lt;$L77),      ($K77*$V77),    0)                         ),2)</f>
        <v>0</v>
      </c>
      <c r="T77" s="212">
        <f xml:space="preserve">  IF(  AND($V77=0,$W77=0),  0,   MIN( $R77,  IF($S77&gt;0,$S77,$R77),  IF($U77&gt;0,$U77,$R77),  IF($W77&gt;0,$W77,$R77)))</f>
        <v>0</v>
      </c>
      <c r="U77" s="257">
        <v>0</v>
      </c>
      <c r="V77" s="260">
        <v>0</v>
      </c>
      <c r="W77" s="257">
        <v>0</v>
      </c>
      <c r="X77" s="254">
        <v>0</v>
      </c>
      <c r="Y77" s="267">
        <f>ROUND(($T77+$X77),2)</f>
        <v>0</v>
      </c>
      <c r="Z77" s="269">
        <f>IF(VLOOKUP($E77,CYCLES!$E$4:$N$45, IF($V$5=1,2,IF($V$5=2,3,IF($V$5=3,4,IF($V$5=5,6,1)))),FALSE)="X",$Y77,0)</f>
        <v>0</v>
      </c>
      <c r="AA77" s="269">
        <f>IF(VLOOKUP($E77,PRIORITIES!$E$5:$H$46,4,FALSE)&gt;0,$Z77,0)</f>
        <v>0</v>
      </c>
      <c r="AB77" s="81"/>
      <c r="AC77" s="73"/>
      <c r="AD77" s="74"/>
    </row>
    <row r="78" spans="1:30" x14ac:dyDescent="0.25">
      <c r="A78" s="74"/>
      <c r="B78" s="73"/>
      <c r="C78" s="78"/>
      <c r="D78" s="83">
        <v>2</v>
      </c>
      <c r="E78" s="169" t="s">
        <v>474</v>
      </c>
      <c r="F78" s="166"/>
      <c r="G78" s="166"/>
      <c r="H78" s="166"/>
      <c r="I78" s="166"/>
      <c r="J78" s="166"/>
      <c r="K78" s="166"/>
      <c r="L78" s="166"/>
      <c r="M78" s="166"/>
      <c r="N78" s="166"/>
      <c r="O78" s="166"/>
      <c r="P78" s="166"/>
      <c r="Q78" s="166"/>
      <c r="R78" s="166"/>
      <c r="S78" s="166"/>
      <c r="T78" s="166"/>
      <c r="U78" s="166"/>
      <c r="V78" s="328">
        <f>VLOOKUP(G34,RETIREMENT!$C$7:$H$48,6,FALSE)</f>
        <v>1.4E-3</v>
      </c>
      <c r="W78" s="165"/>
      <c r="X78" s="254">
        <v>0</v>
      </c>
      <c r="Y78" s="275">
        <f>IF(V78&lt;&gt;"",(ROUND( (V78*ASRSeligibleWage),2)+ROUND($X78,2)),(ROUND($X78,2)))</f>
        <v>0</v>
      </c>
      <c r="Z78" s="276">
        <f>IF(VLOOKUP($E78,CYCLES!$E$4:$N$45, IF($V$5=1,2,IF($V$5=2,3,IF($V$5=3,4,IF($V$5=5,6,1)))),FALSE)="X",$Y78,0)</f>
        <v>0</v>
      </c>
      <c r="AA78" s="276">
        <f>IF(VLOOKUP($E78,PRIORITIES!$E$5:$H$46,4,FALSE)&gt;0,$Z78,0)</f>
        <v>0</v>
      </c>
      <c r="AB78" s="81"/>
      <c r="AC78" s="73"/>
      <c r="AD78" s="74"/>
    </row>
    <row r="79" spans="1:30" x14ac:dyDescent="0.25">
      <c r="A79" s="74"/>
      <c r="B79" s="73"/>
      <c r="C79" s="78"/>
      <c r="D79" s="83">
        <v>2</v>
      </c>
      <c r="E79" s="169" t="s">
        <v>113</v>
      </c>
      <c r="F79" s="166"/>
      <c r="G79" s="166"/>
      <c r="H79" s="172"/>
      <c r="I79" s="166"/>
      <c r="J79" s="166"/>
      <c r="K79" s="166"/>
      <c r="L79" s="166"/>
      <c r="M79" s="166"/>
      <c r="N79" s="166"/>
      <c r="O79" s="166"/>
      <c r="P79" s="166"/>
      <c r="Q79" s="166"/>
      <c r="R79" s="166"/>
      <c r="S79" s="166"/>
      <c r="T79" s="166"/>
      <c r="U79" s="166"/>
      <c r="V79" s="166"/>
      <c r="W79" s="166"/>
      <c r="X79" s="254">
        <v>0</v>
      </c>
      <c r="Y79" s="275">
        <f t="shared" ref="Y79:Y85" si="24">ROUND($X79,2)</f>
        <v>0</v>
      </c>
      <c r="Z79" s="276">
        <f>IF(VLOOKUP($E79,CYCLES!$E$4:$N$45, IF($V$5=1,2,IF($V$5=2,3,IF($V$5=3,4,IF($V$5=5,6,1)))),FALSE)="X",$Y79,0)</f>
        <v>0</v>
      </c>
      <c r="AA79" s="276">
        <f>IF(VLOOKUP($E79,PRIORITIES!$E$5:$H$46,4,FALSE)&gt;0,$Z79,0)</f>
        <v>0</v>
      </c>
      <c r="AB79" s="81"/>
      <c r="AC79" s="73"/>
      <c r="AD79" s="74"/>
    </row>
    <row r="80" spans="1:30" x14ac:dyDescent="0.25">
      <c r="A80" s="74"/>
      <c r="B80" s="73"/>
      <c r="C80" s="78"/>
      <c r="D80" s="83">
        <v>2</v>
      </c>
      <c r="E80" s="169" t="s">
        <v>132</v>
      </c>
      <c r="F80" s="166"/>
      <c r="G80" s="166"/>
      <c r="H80" s="172"/>
      <c r="I80" s="166"/>
      <c r="J80" s="166"/>
      <c r="K80" s="166"/>
      <c r="L80" s="166"/>
      <c r="M80" s="166"/>
      <c r="N80" s="166"/>
      <c r="O80" s="166"/>
      <c r="P80" s="166"/>
      <c r="Q80" s="166"/>
      <c r="R80" s="166"/>
      <c r="S80" s="166"/>
      <c r="T80" s="166"/>
      <c r="U80" s="166"/>
      <c r="V80" s="166"/>
      <c r="W80" s="166"/>
      <c r="X80" s="254">
        <v>0</v>
      </c>
      <c r="Y80" s="275">
        <f t="shared" si="24"/>
        <v>0</v>
      </c>
      <c r="Z80" s="276">
        <f>IF(VLOOKUP($E80,CYCLES!$E$4:$N$45, IF($V$5=1,2,IF($V$5=2,3,IF($V$5=3,4,IF($V$5=5,6,1)))),FALSE)="X",$Y80,0)</f>
        <v>0</v>
      </c>
      <c r="AA80" s="276">
        <f>IF(VLOOKUP($E80,PRIORITIES!$E$5:$H$46,4,FALSE)&gt;0,$Z80,0)</f>
        <v>0</v>
      </c>
      <c r="AB80" s="81"/>
      <c r="AC80" s="73"/>
      <c r="AD80" s="74"/>
    </row>
    <row r="81" spans="1:30" x14ac:dyDescent="0.25">
      <c r="A81" s="74"/>
      <c r="B81" s="73"/>
      <c r="C81" s="78"/>
      <c r="D81" s="83">
        <v>2</v>
      </c>
      <c r="E81" s="169" t="s">
        <v>115</v>
      </c>
      <c r="F81" s="166"/>
      <c r="G81" s="166"/>
      <c r="H81" s="172"/>
      <c r="I81" s="166"/>
      <c r="J81" s="166"/>
      <c r="K81" s="166"/>
      <c r="L81" s="166"/>
      <c r="M81" s="166"/>
      <c r="N81" s="166"/>
      <c r="O81" s="166"/>
      <c r="P81" s="166"/>
      <c r="Q81" s="166"/>
      <c r="R81" s="166"/>
      <c r="S81" s="166"/>
      <c r="T81" s="166"/>
      <c r="U81" s="166"/>
      <c r="V81" s="166"/>
      <c r="W81" s="166"/>
      <c r="X81" s="254">
        <v>0</v>
      </c>
      <c r="Y81" s="275">
        <f t="shared" si="24"/>
        <v>0</v>
      </c>
      <c r="Z81" s="276">
        <f>IF(VLOOKUP($E81,CYCLES!$E$4:$N$45, IF($V$5=1,2,IF($V$5=2,3,IF($V$5=3,4,IF($V$5=5,6,1)))),FALSE)="X",$Y81,0)</f>
        <v>0</v>
      </c>
      <c r="AA81" s="276">
        <f>IF(VLOOKUP($E81,PRIORITIES!$E$5:$H$46,4,FALSE)&gt;0,$Z81,0)</f>
        <v>0</v>
      </c>
      <c r="AB81" s="81"/>
      <c r="AC81" s="73"/>
      <c r="AD81" s="74"/>
    </row>
    <row r="82" spans="1:30" x14ac:dyDescent="0.25">
      <c r="A82" s="74"/>
      <c r="B82" s="73"/>
      <c r="C82" s="78"/>
      <c r="D82" s="83">
        <v>8</v>
      </c>
      <c r="E82" s="169" t="s">
        <v>265</v>
      </c>
      <c r="F82" s="166"/>
      <c r="G82" s="166"/>
      <c r="H82" s="172"/>
      <c r="I82" s="166"/>
      <c r="J82" s="166"/>
      <c r="K82" s="166"/>
      <c r="L82" s="166"/>
      <c r="M82" s="166"/>
      <c r="N82" s="166"/>
      <c r="O82" s="166"/>
      <c r="P82" s="166"/>
      <c r="Q82" s="166"/>
      <c r="R82" s="166"/>
      <c r="S82" s="166"/>
      <c r="T82" s="166"/>
      <c r="U82" s="166"/>
      <c r="V82" s="166"/>
      <c r="W82" s="247" t="str">
        <f>IF($Y82&lt;&gt;0,"May be restricted by annual contribution limits ==&gt;","")</f>
        <v/>
      </c>
      <c r="X82" s="254">
        <v>0</v>
      </c>
      <c r="Y82" s="275">
        <f t="shared" si="24"/>
        <v>0</v>
      </c>
      <c r="Z82" s="276">
        <f>IF(VLOOKUP($E82,CYCLES!$E$4:$N$45, IF($V$5=1,2,IF($V$5=2,3,IF($V$5=3,4,IF($V$5=5,6,1)))),FALSE)="X",$Y82,0)</f>
        <v>0</v>
      </c>
      <c r="AA82" s="276">
        <f>IF(VLOOKUP($E82,PRIORITIES!$E$5:$H$46,4,FALSE)&gt;0,$Z82,0)</f>
        <v>0</v>
      </c>
      <c r="AB82" s="81"/>
      <c r="AC82" s="73"/>
      <c r="AD82" s="74"/>
    </row>
    <row r="83" spans="1:30" x14ac:dyDescent="0.25">
      <c r="A83" s="74"/>
      <c r="B83" s="73"/>
      <c r="C83" s="78"/>
      <c r="D83" s="80">
        <v>9</v>
      </c>
      <c r="E83" s="169" t="s">
        <v>116</v>
      </c>
      <c r="F83" s="166"/>
      <c r="G83" s="166"/>
      <c r="H83" s="172"/>
      <c r="I83" s="172"/>
      <c r="J83" s="172"/>
      <c r="K83" s="172"/>
      <c r="L83" s="172"/>
      <c r="M83" s="172"/>
      <c r="N83" s="172"/>
      <c r="O83" s="172"/>
      <c r="P83" s="172"/>
      <c r="Q83" s="172"/>
      <c r="R83" s="172"/>
      <c r="S83" s="172"/>
      <c r="T83" s="172"/>
      <c r="U83" s="172"/>
      <c r="V83" s="166"/>
      <c r="W83" s="166"/>
      <c r="X83" s="254">
        <v>0</v>
      </c>
      <c r="Y83" s="275">
        <f t="shared" si="24"/>
        <v>0</v>
      </c>
      <c r="Z83" s="276">
        <f>IF(VLOOKUP($E83,CYCLES!$E$4:$N$45, IF($V$5=1,2,IF($V$5=2,3,IF($V$5=3,4,IF($V$5=5,6,1)))),FALSE)="X",$Y83,0)</f>
        <v>0</v>
      </c>
      <c r="AA83" s="276">
        <f>IF(VLOOKUP($E83,PRIORITIES!$E$5:$H$46,4,FALSE)&gt;0,$Z83,0)</f>
        <v>0</v>
      </c>
      <c r="AB83" s="81"/>
      <c r="AC83" s="73"/>
      <c r="AD83" s="74"/>
    </row>
    <row r="84" spans="1:30" x14ac:dyDescent="0.25">
      <c r="A84" s="74"/>
      <c r="B84" s="73"/>
      <c r="C84" s="78"/>
      <c r="D84" s="83">
        <v>9</v>
      </c>
      <c r="E84" s="169" t="s">
        <v>117</v>
      </c>
      <c r="F84" s="166"/>
      <c r="G84" s="166"/>
      <c r="H84" s="172"/>
      <c r="I84" s="172"/>
      <c r="J84" s="172"/>
      <c r="K84" s="172"/>
      <c r="L84" s="172"/>
      <c r="M84" s="172"/>
      <c r="N84" s="172"/>
      <c r="O84" s="172"/>
      <c r="P84" s="172"/>
      <c r="Q84" s="172"/>
      <c r="R84" s="172"/>
      <c r="S84" s="172"/>
      <c r="T84" s="172"/>
      <c r="U84" s="172"/>
      <c r="V84" s="166"/>
      <c r="W84" s="166"/>
      <c r="X84" s="254">
        <v>0</v>
      </c>
      <c r="Y84" s="275">
        <f t="shared" si="24"/>
        <v>0</v>
      </c>
      <c r="Z84" s="276">
        <f>IF(VLOOKUP($E84,CYCLES!$E$4:$N$45, IF($V$5=1,2,IF($V$5=2,3,IF($V$5=3,4,IF($V$5=5,6,1)))),FALSE)="X",$Y84,0)</f>
        <v>0</v>
      </c>
      <c r="AA84" s="276">
        <f>IF(VLOOKUP($E84,PRIORITIES!$E$5:$H$46,4,FALSE)&gt;0,$Z84,0)</f>
        <v>0</v>
      </c>
      <c r="AB84" s="81"/>
      <c r="AC84" s="73"/>
      <c r="AD84" s="74"/>
    </row>
    <row r="85" spans="1:30" x14ac:dyDescent="0.25">
      <c r="A85" s="74"/>
      <c r="B85" s="73"/>
      <c r="C85" s="78"/>
      <c r="D85" s="83">
        <v>9</v>
      </c>
      <c r="E85" s="221" t="s">
        <v>275</v>
      </c>
      <c r="F85" s="177"/>
      <c r="G85" s="177"/>
      <c r="H85" s="177"/>
      <c r="I85" s="177"/>
      <c r="J85" s="177"/>
      <c r="K85" s="177"/>
      <c r="L85" s="177"/>
      <c r="M85" s="177"/>
      <c r="N85" s="177"/>
      <c r="O85" s="177"/>
      <c r="P85" s="177"/>
      <c r="Q85" s="177"/>
      <c r="R85" s="177"/>
      <c r="S85" s="177"/>
      <c r="T85" s="177"/>
      <c r="U85" s="177"/>
      <c r="V85" s="177"/>
      <c r="W85" s="178"/>
      <c r="X85" s="254">
        <v>0</v>
      </c>
      <c r="Y85" s="199">
        <f t="shared" si="24"/>
        <v>0</v>
      </c>
      <c r="Z85" s="88">
        <f>IF(VLOOKUP($E85,CYCLES!$E$4:$N$45, IF($V$5=1,2,IF($V$5=2,3,IF($V$5=3,4,IF($V$5=5,6,1)))),FALSE)="X",$Y85,0)</f>
        <v>0</v>
      </c>
      <c r="AA85" s="88">
        <f>IF(VLOOKUP($E85,PRIORITIES!$E$5:$H$46,4,FALSE)&gt;0,$Z85,0)</f>
        <v>0</v>
      </c>
      <c r="AB85" s="81"/>
      <c r="AC85" s="73"/>
      <c r="AD85" s="74"/>
    </row>
    <row r="86" spans="1:30" x14ac:dyDescent="0.25">
      <c r="A86" s="74"/>
      <c r="B86" s="73"/>
      <c r="C86" s="78"/>
      <c r="D86" s="80"/>
      <c r="E86" s="189" t="s">
        <v>120</v>
      </c>
      <c r="F86" s="186"/>
      <c r="G86" s="186"/>
      <c r="H86" s="186"/>
      <c r="I86" s="186"/>
      <c r="J86" s="186"/>
      <c r="K86" s="186"/>
      <c r="L86" s="186"/>
      <c r="M86" s="186"/>
      <c r="N86" s="186"/>
      <c r="O86" s="186"/>
      <c r="P86" s="186"/>
      <c r="Q86" s="186"/>
      <c r="R86" s="186"/>
      <c r="S86" s="186"/>
      <c r="T86" s="186"/>
      <c r="U86" s="186"/>
      <c r="V86" s="186"/>
      <c r="W86" s="186"/>
      <c r="X86" s="186"/>
      <c r="Y86" s="188">
        <f>SUM(Y55:Y85)</f>
        <v>0</v>
      </c>
      <c r="Z86" s="188">
        <f>SUM(Z55:Z85)</f>
        <v>0</v>
      </c>
      <c r="AA86" s="188">
        <f>SUM(AA55:AA85)</f>
        <v>0</v>
      </c>
      <c r="AB86" s="81"/>
      <c r="AC86" s="73"/>
      <c r="AD86" s="74"/>
    </row>
    <row r="87" spans="1:30" x14ac:dyDescent="0.25">
      <c r="A87" s="74"/>
      <c r="B87" s="73"/>
      <c r="C87" s="78"/>
      <c r="D87" s="80"/>
      <c r="E87" s="80"/>
      <c r="F87" s="80"/>
      <c r="G87" s="80"/>
      <c r="H87" s="80"/>
      <c r="I87" s="80"/>
      <c r="J87" s="80"/>
      <c r="K87" s="80"/>
      <c r="L87" s="80"/>
      <c r="M87" s="80"/>
      <c r="N87" s="80"/>
      <c r="O87" s="80"/>
      <c r="P87" s="80"/>
      <c r="Q87" s="80"/>
      <c r="R87" s="80"/>
      <c r="S87" s="80"/>
      <c r="T87" s="80"/>
      <c r="U87" s="80"/>
      <c r="V87" s="80"/>
      <c r="W87" s="80"/>
      <c r="X87" s="80"/>
      <c r="Y87" s="181"/>
      <c r="Z87" s="181"/>
      <c r="AA87" s="181"/>
      <c r="AB87" s="81"/>
      <c r="AC87" s="73"/>
      <c r="AD87" s="74"/>
    </row>
    <row r="88" spans="1:30" ht="15.75" thickBot="1" x14ac:dyDescent="0.3">
      <c r="A88" s="74"/>
      <c r="B88" s="73"/>
      <c r="C88" s="78"/>
      <c r="D88" s="190" t="s">
        <v>122</v>
      </c>
      <c r="E88" s="191"/>
      <c r="F88" s="191"/>
      <c r="G88" s="191"/>
      <c r="H88" s="191"/>
      <c r="I88" s="191"/>
      <c r="J88" s="191"/>
      <c r="K88" s="191"/>
      <c r="L88" s="191"/>
      <c r="M88" s="191"/>
      <c r="N88" s="191"/>
      <c r="O88" s="191"/>
      <c r="P88" s="191"/>
      <c r="Q88" s="191"/>
      <c r="R88" s="191"/>
      <c r="S88" s="191"/>
      <c r="T88" s="191"/>
      <c r="U88" s="192"/>
      <c r="V88" s="191"/>
      <c r="W88" s="191"/>
      <c r="X88" s="191"/>
      <c r="Y88" s="193">
        <f>Y31-Y46-Y54-Y86</f>
        <v>0</v>
      </c>
      <c r="Z88" s="193">
        <f>Z31-Z46-Z54-Z86</f>
        <v>0</v>
      </c>
      <c r="AA88" s="266">
        <f>AA31-AA46-AA54-AA86</f>
        <v>0</v>
      </c>
      <c r="AB88" s="81" t="str">
        <f>IF(($Z$88-SUM($Z$26:$Z$30)&lt;0),"*","")</f>
        <v/>
      </c>
      <c r="AC88" s="73"/>
      <c r="AD88" s="74"/>
    </row>
    <row r="89" spans="1:30" ht="15.75" thickTop="1" x14ac:dyDescent="0.25">
      <c r="A89" s="74"/>
      <c r="B89" s="73"/>
      <c r="C89" s="78"/>
      <c r="D89" s="82"/>
      <c r="E89" s="80"/>
      <c r="F89" s="80"/>
      <c r="G89" s="80"/>
      <c r="H89" s="80"/>
      <c r="I89" s="80"/>
      <c r="J89" s="80"/>
      <c r="K89" s="80"/>
      <c r="L89" s="80"/>
      <c r="M89" s="80"/>
      <c r="N89" s="80"/>
      <c r="O89" s="80"/>
      <c r="P89" s="80"/>
      <c r="Q89" s="80"/>
      <c r="R89" s="80"/>
      <c r="S89" s="80"/>
      <c r="T89" s="80"/>
      <c r="U89" s="87"/>
      <c r="V89" s="80"/>
      <c r="W89" s="80"/>
      <c r="X89" s="80"/>
      <c r="Y89" s="80"/>
      <c r="Z89" s="241" t="str">
        <f>IF(($Z$88-SUM($Z$26:$Z$30)&lt;0),"*Deductions exceed available earnings, See Column AA ==&gt;","")</f>
        <v/>
      </c>
      <c r="AA89" s="218"/>
      <c r="AB89" s="81"/>
      <c r="AC89" s="73"/>
      <c r="AD89" s="74"/>
    </row>
    <row r="90" spans="1:30" x14ac:dyDescent="0.25">
      <c r="A90" s="74"/>
      <c r="B90" s="73"/>
      <c r="C90" s="78"/>
      <c r="D90" s="82" t="s">
        <v>287</v>
      </c>
      <c r="E90" s="80"/>
      <c r="F90" s="80"/>
      <c r="G90" s="80"/>
      <c r="H90" s="80"/>
      <c r="I90" s="80"/>
      <c r="J90" s="80"/>
      <c r="K90" s="80"/>
      <c r="L90" s="80"/>
      <c r="M90" s="80"/>
      <c r="N90" s="80"/>
      <c r="O90" s="80"/>
      <c r="P90" s="80"/>
      <c r="Q90" s="80"/>
      <c r="R90" s="80"/>
      <c r="S90" s="80"/>
      <c r="T90" s="80"/>
      <c r="U90" s="87"/>
      <c r="V90" s="80"/>
      <c r="W90" s="80"/>
      <c r="X90" s="80"/>
      <c r="Y90" s="218"/>
      <c r="Z90" s="218"/>
      <c r="AA90" s="218"/>
      <c r="AB90" s="81"/>
      <c r="AC90" s="73"/>
      <c r="AD90" s="74"/>
    </row>
    <row r="91" spans="1:30" x14ac:dyDescent="0.25">
      <c r="A91" s="74"/>
      <c r="B91" s="73"/>
      <c r="C91" s="78"/>
      <c r="D91" s="82" t="s">
        <v>288</v>
      </c>
      <c r="E91" s="80"/>
      <c r="F91" s="80"/>
      <c r="G91" s="80"/>
      <c r="H91" s="80"/>
      <c r="I91" s="80"/>
      <c r="J91" s="80"/>
      <c r="K91" s="80"/>
      <c r="L91" s="80"/>
      <c r="M91" s="80"/>
      <c r="N91" s="80"/>
      <c r="O91" s="80"/>
      <c r="P91" s="80"/>
      <c r="Q91" s="80"/>
      <c r="R91" s="80"/>
      <c r="S91" s="80"/>
      <c r="T91" s="80"/>
      <c r="U91" s="87"/>
      <c r="V91" s="80"/>
      <c r="W91" s="80"/>
      <c r="X91" s="80"/>
      <c r="Y91" s="218"/>
      <c r="Z91" s="218"/>
      <c r="AA91" s="218"/>
      <c r="AB91" s="81"/>
      <c r="AC91" s="73"/>
      <c r="AD91" s="74"/>
    </row>
    <row r="92" spans="1:30" ht="15.75" thickBot="1" x14ac:dyDescent="0.3">
      <c r="A92" s="74"/>
      <c r="B92" s="73"/>
      <c r="C92" s="84"/>
      <c r="D92" s="85"/>
      <c r="E92" s="85"/>
      <c r="F92" s="85"/>
      <c r="G92" s="85"/>
      <c r="H92" s="85"/>
      <c r="I92" s="85"/>
      <c r="J92" s="85"/>
      <c r="K92" s="85"/>
      <c r="L92" s="85"/>
      <c r="M92" s="85"/>
      <c r="N92" s="85"/>
      <c r="O92" s="85"/>
      <c r="P92" s="85"/>
      <c r="Q92" s="85"/>
      <c r="R92" s="85"/>
      <c r="S92" s="85"/>
      <c r="T92" s="85"/>
      <c r="U92" s="85"/>
      <c r="V92" s="85"/>
      <c r="W92" s="156"/>
      <c r="X92" s="156"/>
      <c r="Y92" s="156"/>
      <c r="Z92" s="156"/>
      <c r="AA92" s="85"/>
      <c r="AB92" s="86"/>
      <c r="AC92" s="73"/>
      <c r="AD92" s="74"/>
    </row>
    <row r="93" spans="1:30" ht="5.0999999999999996" customHeight="1" x14ac:dyDescent="0.25">
      <c r="A93" s="74"/>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4"/>
    </row>
    <row r="94" spans="1:3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row>
    <row r="98" spans="25:26" x14ac:dyDescent="0.25">
      <c r="Y98" s="164"/>
      <c r="Z98" s="164"/>
    </row>
  </sheetData>
  <sheetProtection algorithmName="SHA-512" hashValue="NcebmwrfMbiWoyhAIZRQRbVknW/inSCHfVHcAULIsU+RqDKQdERnBIqjDH2U2WckVU96YJUdZ+t0uyL5abYD6g==" saltValue="W7SJV6h+eKina+hF2EAP2A==" spinCount="100000" sheet="1" objects="1" scenarios="1"/>
  <mergeCells count="11">
    <mergeCell ref="E6:F6"/>
    <mergeCell ref="H6:I6"/>
    <mergeCell ref="AA5:AA7"/>
    <mergeCell ref="H77:I77"/>
    <mergeCell ref="H71:I71"/>
    <mergeCell ref="H73:I73"/>
    <mergeCell ref="H74:I74"/>
    <mergeCell ref="H75:I75"/>
    <mergeCell ref="H76:I76"/>
    <mergeCell ref="H34:U34"/>
    <mergeCell ref="Z5:Z7"/>
  </mergeCells>
  <conditionalFormatting sqref="H49:I49 U49 K49 N49 R49 S49 V49">
    <cfRule type="expression" dxfId="5" priority="22">
      <formula>$G$49="Yes"</formula>
    </cfRule>
  </conditionalFormatting>
  <conditionalFormatting sqref="V50:W50">
    <cfRule type="expression" dxfId="4" priority="21">
      <formula>$G$50="Yes"</formula>
    </cfRule>
  </conditionalFormatting>
  <conditionalFormatting sqref="N49 R49 S49 U49">
    <cfRule type="expression" dxfId="3" priority="2">
      <formula>$I$49="Before 2020"</formula>
    </cfRule>
  </conditionalFormatting>
  <conditionalFormatting sqref="K49">
    <cfRule type="expression" dxfId="2" priority="1">
      <formula>$I$49="2020 or After"</formula>
    </cfRule>
  </conditionalFormatting>
  <dataValidations count="5">
    <dataValidation type="decimal" operator="greaterThanOrEqual" allowBlank="1" showInputMessage="1" showErrorMessage="1" errorTitle="Error" error="Additional amount must be entered as a positive number or zero." promptTitle="Federal Taxes Additional Amount" prompt="Enter additional amount to be withheld for Federal Tax Withholding.  Can also be zero." sqref="U49">
      <formula1>0</formula1>
    </dataValidation>
    <dataValidation type="decimal" operator="greaterThanOrEqual" allowBlank="1" showInputMessage="1" showErrorMessage="1" errorTitle="Error" error="Must be entered as positive number or zero." promptTitle="State Taxes Additional Amount" prompt="Enter additional amount to be withheld for State Tax Withholding.  Can also be zero." sqref="V50">
      <formula1>0</formula1>
    </dataValidation>
    <dataValidation allowBlank="1" showErrorMessage="1" errorTitle="Error" error="Must be a whole percentage from 15% to 25%" sqref="L73:L77 V73:V77"/>
    <dataValidation type="custom" allowBlank="1" showInputMessage="1" showErrorMessage="1" error="Enter zero or positive numbe" sqref="U73:U77 U61:U66 U68:U70 W68:W70 W73:W77 W60:W66">
      <formula1>$W60&gt;=0</formula1>
    </dataValidation>
    <dataValidation type="custom" allowBlank="1" showInputMessage="1" showErrorMessage="1" error="Enter zero or positive numbe" sqref="K43">
      <formula1>$K43&gt;=0</formula1>
    </dataValidation>
  </dataValidations>
  <printOptions horizontalCentered="1" verticalCentered="1"/>
  <pageMargins left="0.25" right="0.25" top="0.3" bottom="0.3" header="0.3" footer="0.25"/>
  <pageSetup scale="48" orientation="portrait" r:id="rId1"/>
  <headerFooter>
    <oddFooter>&amp;L&amp;12Version 1.1.15   &amp;D &amp;T&amp;C&amp;12&amp;Z&amp;F  &amp;R&amp;12GAO Central Payroll Agency Payroll Guide III.Q.</oddFooter>
  </headerFooter>
  <colBreaks count="1" manualBreakCount="1">
    <brk id="29" max="1048575" man="1"/>
  </colBreaks>
  <ignoredErrors>
    <ignoredError sqref="Y27:AA27 Y43" formula="1"/>
  </ignoredErrors>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'LEVY TABLES'!$B$1:$V$1</xm:f>
          </x14:formula1>
          <xm:sqref>F69</xm:sqref>
        </x14:dataValidation>
        <x14:dataValidation type="list" allowBlank="1" showInputMessage="1" showErrorMessage="1">
          <x14:formula1>
            <xm:f>OPTIONS!$C$7:$C$9</xm:f>
          </x14:formula1>
          <xm:sqref>H49</xm:sqref>
        </x14:dataValidation>
        <x14:dataValidation type="list" allowBlank="1" showInputMessage="1" showErrorMessage="1">
          <x14:formula1>
            <xm:f>OPTIONS!$C$15:$C$22</xm:f>
          </x14:formula1>
          <xm:sqref>W50</xm:sqref>
        </x14:dataValidation>
        <x14:dataValidation type="list" allowBlank="1" showInputMessage="1" showErrorMessage="1">
          <x14:formula1>
            <xm:f>OPTIONS!$C$1:$C$2</xm:f>
          </x14:formula1>
          <xm:sqref>G49:G50 H61:I66 V20:V25 N49</xm:sqref>
        </x14:dataValidation>
        <x14:dataValidation type="list" allowBlank="1" showInputMessage="1" showErrorMessage="1" errorTitle="Error" error="Must be 1.5 or 1.0">
          <x14:formula1>
            <xm:f>OPTIONS!$C$4:$C$5</xm:f>
          </x14:formula1>
          <xm:sqref>V9</xm:sqref>
        </x14:dataValidation>
        <x14:dataValidation type="list" allowBlank="1" showInputMessage="1" showErrorMessage="1">
          <x14:formula1>
            <xm:f>'LEVY TABLES'!$A$30:$A$33</xm:f>
          </x14:formula1>
          <xm:sqref>G68:G70</xm:sqref>
        </x14:dataValidation>
        <x14:dataValidation type="list" allowBlank="1" showInputMessage="1" showErrorMessage="1" promptTitle="Enter in order Served">
          <x14:formula1>
            <xm:f>OPTIONS!$C$36:$C$39</xm:f>
          </x14:formula1>
          <xm:sqref>H73:H77</xm:sqref>
        </x14:dataValidation>
        <x14:dataValidation type="list" allowBlank="1" showInputMessage="1" showErrorMessage="1">
          <x14:formula1>
            <xm:f>OPTIONS!$C$48:$C$51</xm:f>
          </x14:formula1>
          <xm:sqref>V5</xm:sqref>
        </x14:dataValidation>
        <x14:dataValidation type="list" allowBlank="1" showInputMessage="1" showErrorMessage="1">
          <x14:formula1>
            <xm:f>'LEVY TABLES'!$B$1:$V$1</xm:f>
          </x14:formula1>
          <xm:sqref>F70</xm:sqref>
        </x14:dataValidation>
        <x14:dataValidation type="list" allowBlank="1" showInputMessage="1" showErrorMessage="1">
          <x14:formula1>
            <xm:f>RETIREMENT!$C$7:$C$48</xm:f>
          </x14:formula1>
          <xm:sqref>G34</xm:sqref>
        </x14:dataValidation>
        <x14:dataValidation type="list" allowBlank="1" showInputMessage="1" showErrorMessage="1">
          <x14:formula1>
            <xm:f>OPTIONS!$C$11:$C$12</xm:f>
          </x14:formula1>
          <xm:sqref>I49</xm:sqref>
        </x14:dataValidation>
        <x14:dataValidation type="list" allowBlank="1" showInputMessage="1" showErrorMessage="1">
          <x14:formula1>
            <xm:f>'LEVY TABLES'!$B$1:$V$1</xm:f>
          </x14:formula1>
          <xm:sqref>F68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election activeCell="G34" sqref="G34"/>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60"/>
  <sheetViews>
    <sheetView zoomScale="75" zoomScaleNormal="100" workbookViewId="0">
      <selection activeCell="A20" sqref="A20"/>
    </sheetView>
  </sheetViews>
  <sheetFormatPr defaultRowHeight="14.25" x14ac:dyDescent="0.2"/>
  <cols>
    <col min="1" max="1" width="37.140625" style="157" customWidth="1"/>
    <col min="2" max="2" width="14.85546875" style="157" customWidth="1"/>
    <col min="3" max="3" width="17.28515625" style="157" customWidth="1"/>
    <col min="4" max="4" width="13.42578125" style="157" customWidth="1"/>
    <col min="5" max="5" width="15.28515625" style="157" customWidth="1"/>
    <col min="6" max="6" width="13.140625" style="157" customWidth="1"/>
    <col min="7" max="248" width="9.140625" style="157"/>
    <col min="249" max="249" width="7.140625" style="157" customWidth="1"/>
    <col min="250" max="250" width="74.42578125" style="157" bestFit="1" customWidth="1"/>
    <col min="251" max="251" width="16.42578125" style="157" customWidth="1"/>
    <col min="252" max="252" width="14.7109375" style="157" customWidth="1"/>
    <col min="253" max="253" width="6.140625" style="157" customWidth="1"/>
    <col min="254" max="254" width="37.140625" style="157" customWidth="1"/>
    <col min="255" max="255" width="14.85546875" style="157" customWidth="1"/>
    <col min="256" max="256" width="17.28515625" style="157" customWidth="1"/>
    <col min="257" max="257" width="13.42578125" style="157" customWidth="1"/>
    <col min="258" max="258" width="15.28515625" style="157" customWidth="1"/>
    <col min="259" max="259" width="13.140625" style="157" customWidth="1"/>
    <col min="260" max="260" width="16.7109375" style="157" customWidth="1"/>
    <col min="261" max="261" width="11.5703125" style="157" customWidth="1"/>
    <col min="262" max="262" width="11.7109375" style="157" customWidth="1"/>
    <col min="263" max="504" width="9.140625" style="157"/>
    <col min="505" max="505" width="7.140625" style="157" customWidth="1"/>
    <col min="506" max="506" width="74.42578125" style="157" bestFit="1" customWidth="1"/>
    <col min="507" max="507" width="16.42578125" style="157" customWidth="1"/>
    <col min="508" max="508" width="14.7109375" style="157" customWidth="1"/>
    <col min="509" max="509" width="6.140625" style="157" customWidth="1"/>
    <col min="510" max="510" width="37.140625" style="157" customWidth="1"/>
    <col min="511" max="511" width="14.85546875" style="157" customWidth="1"/>
    <col min="512" max="512" width="17.28515625" style="157" customWidth="1"/>
    <col min="513" max="513" width="13.42578125" style="157" customWidth="1"/>
    <col min="514" max="514" width="15.28515625" style="157" customWidth="1"/>
    <col min="515" max="515" width="13.140625" style="157" customWidth="1"/>
    <col min="516" max="516" width="16.7109375" style="157" customWidth="1"/>
    <col min="517" max="517" width="11.5703125" style="157" customWidth="1"/>
    <col min="518" max="518" width="11.7109375" style="157" customWidth="1"/>
    <col min="519" max="760" width="9.140625" style="157"/>
    <col min="761" max="761" width="7.140625" style="157" customWidth="1"/>
    <col min="762" max="762" width="74.42578125" style="157" bestFit="1" customWidth="1"/>
    <col min="763" max="763" width="16.42578125" style="157" customWidth="1"/>
    <col min="764" max="764" width="14.7109375" style="157" customWidth="1"/>
    <col min="765" max="765" width="6.140625" style="157" customWidth="1"/>
    <col min="766" max="766" width="37.140625" style="157" customWidth="1"/>
    <col min="767" max="767" width="14.85546875" style="157" customWidth="1"/>
    <col min="768" max="768" width="17.28515625" style="157" customWidth="1"/>
    <col min="769" max="769" width="13.42578125" style="157" customWidth="1"/>
    <col min="770" max="770" width="15.28515625" style="157" customWidth="1"/>
    <col min="771" max="771" width="13.140625" style="157" customWidth="1"/>
    <col min="772" max="772" width="16.7109375" style="157" customWidth="1"/>
    <col min="773" max="773" width="11.5703125" style="157" customWidth="1"/>
    <col min="774" max="774" width="11.7109375" style="157" customWidth="1"/>
    <col min="775" max="1016" width="9.140625" style="157"/>
    <col min="1017" max="1017" width="7.140625" style="157" customWidth="1"/>
    <col min="1018" max="1018" width="74.42578125" style="157" bestFit="1" customWidth="1"/>
    <col min="1019" max="1019" width="16.42578125" style="157" customWidth="1"/>
    <col min="1020" max="1020" width="14.7109375" style="157" customWidth="1"/>
    <col min="1021" max="1021" width="6.140625" style="157" customWidth="1"/>
    <col min="1022" max="1022" width="37.140625" style="157" customWidth="1"/>
    <col min="1023" max="1023" width="14.85546875" style="157" customWidth="1"/>
    <col min="1024" max="1024" width="17.28515625" style="157" customWidth="1"/>
    <col min="1025" max="1025" width="13.42578125" style="157" customWidth="1"/>
    <col min="1026" max="1026" width="15.28515625" style="157" customWidth="1"/>
    <col min="1027" max="1027" width="13.140625" style="157" customWidth="1"/>
    <col min="1028" max="1028" width="16.7109375" style="157" customWidth="1"/>
    <col min="1029" max="1029" width="11.5703125" style="157" customWidth="1"/>
    <col min="1030" max="1030" width="11.7109375" style="157" customWidth="1"/>
    <col min="1031" max="1272" width="9.140625" style="157"/>
    <col min="1273" max="1273" width="7.140625" style="157" customWidth="1"/>
    <col min="1274" max="1274" width="74.42578125" style="157" bestFit="1" customWidth="1"/>
    <col min="1275" max="1275" width="16.42578125" style="157" customWidth="1"/>
    <col min="1276" max="1276" width="14.7109375" style="157" customWidth="1"/>
    <col min="1277" max="1277" width="6.140625" style="157" customWidth="1"/>
    <col min="1278" max="1278" width="37.140625" style="157" customWidth="1"/>
    <col min="1279" max="1279" width="14.85546875" style="157" customWidth="1"/>
    <col min="1280" max="1280" width="17.28515625" style="157" customWidth="1"/>
    <col min="1281" max="1281" width="13.42578125" style="157" customWidth="1"/>
    <col min="1282" max="1282" width="15.28515625" style="157" customWidth="1"/>
    <col min="1283" max="1283" width="13.140625" style="157" customWidth="1"/>
    <col min="1284" max="1284" width="16.7109375" style="157" customWidth="1"/>
    <col min="1285" max="1285" width="11.5703125" style="157" customWidth="1"/>
    <col min="1286" max="1286" width="11.7109375" style="157" customWidth="1"/>
    <col min="1287" max="1528" width="9.140625" style="157"/>
    <col min="1529" max="1529" width="7.140625" style="157" customWidth="1"/>
    <col min="1530" max="1530" width="74.42578125" style="157" bestFit="1" customWidth="1"/>
    <col min="1531" max="1531" width="16.42578125" style="157" customWidth="1"/>
    <col min="1532" max="1532" width="14.7109375" style="157" customWidth="1"/>
    <col min="1533" max="1533" width="6.140625" style="157" customWidth="1"/>
    <col min="1534" max="1534" width="37.140625" style="157" customWidth="1"/>
    <col min="1535" max="1535" width="14.85546875" style="157" customWidth="1"/>
    <col min="1536" max="1536" width="17.28515625" style="157" customWidth="1"/>
    <col min="1537" max="1537" width="13.42578125" style="157" customWidth="1"/>
    <col min="1538" max="1538" width="15.28515625" style="157" customWidth="1"/>
    <col min="1539" max="1539" width="13.140625" style="157" customWidth="1"/>
    <col min="1540" max="1540" width="16.7109375" style="157" customWidth="1"/>
    <col min="1541" max="1541" width="11.5703125" style="157" customWidth="1"/>
    <col min="1542" max="1542" width="11.7109375" style="157" customWidth="1"/>
    <col min="1543" max="1784" width="9.140625" style="157"/>
    <col min="1785" max="1785" width="7.140625" style="157" customWidth="1"/>
    <col min="1786" max="1786" width="74.42578125" style="157" bestFit="1" customWidth="1"/>
    <col min="1787" max="1787" width="16.42578125" style="157" customWidth="1"/>
    <col min="1788" max="1788" width="14.7109375" style="157" customWidth="1"/>
    <col min="1789" max="1789" width="6.140625" style="157" customWidth="1"/>
    <col min="1790" max="1790" width="37.140625" style="157" customWidth="1"/>
    <col min="1791" max="1791" width="14.85546875" style="157" customWidth="1"/>
    <col min="1792" max="1792" width="17.28515625" style="157" customWidth="1"/>
    <col min="1793" max="1793" width="13.42578125" style="157" customWidth="1"/>
    <col min="1794" max="1794" width="15.28515625" style="157" customWidth="1"/>
    <col min="1795" max="1795" width="13.140625" style="157" customWidth="1"/>
    <col min="1796" max="1796" width="16.7109375" style="157" customWidth="1"/>
    <col min="1797" max="1797" width="11.5703125" style="157" customWidth="1"/>
    <col min="1798" max="1798" width="11.7109375" style="157" customWidth="1"/>
    <col min="1799" max="2040" width="9.140625" style="157"/>
    <col min="2041" max="2041" width="7.140625" style="157" customWidth="1"/>
    <col min="2042" max="2042" width="74.42578125" style="157" bestFit="1" customWidth="1"/>
    <col min="2043" max="2043" width="16.42578125" style="157" customWidth="1"/>
    <col min="2044" max="2044" width="14.7109375" style="157" customWidth="1"/>
    <col min="2045" max="2045" width="6.140625" style="157" customWidth="1"/>
    <col min="2046" max="2046" width="37.140625" style="157" customWidth="1"/>
    <col min="2047" max="2047" width="14.85546875" style="157" customWidth="1"/>
    <col min="2048" max="2048" width="17.28515625" style="157" customWidth="1"/>
    <col min="2049" max="2049" width="13.42578125" style="157" customWidth="1"/>
    <col min="2050" max="2050" width="15.28515625" style="157" customWidth="1"/>
    <col min="2051" max="2051" width="13.140625" style="157" customWidth="1"/>
    <col min="2052" max="2052" width="16.7109375" style="157" customWidth="1"/>
    <col min="2053" max="2053" width="11.5703125" style="157" customWidth="1"/>
    <col min="2054" max="2054" width="11.7109375" style="157" customWidth="1"/>
    <col min="2055" max="2296" width="9.140625" style="157"/>
    <col min="2297" max="2297" width="7.140625" style="157" customWidth="1"/>
    <col min="2298" max="2298" width="74.42578125" style="157" bestFit="1" customWidth="1"/>
    <col min="2299" max="2299" width="16.42578125" style="157" customWidth="1"/>
    <col min="2300" max="2300" width="14.7109375" style="157" customWidth="1"/>
    <col min="2301" max="2301" width="6.140625" style="157" customWidth="1"/>
    <col min="2302" max="2302" width="37.140625" style="157" customWidth="1"/>
    <col min="2303" max="2303" width="14.85546875" style="157" customWidth="1"/>
    <col min="2304" max="2304" width="17.28515625" style="157" customWidth="1"/>
    <col min="2305" max="2305" width="13.42578125" style="157" customWidth="1"/>
    <col min="2306" max="2306" width="15.28515625" style="157" customWidth="1"/>
    <col min="2307" max="2307" width="13.140625" style="157" customWidth="1"/>
    <col min="2308" max="2308" width="16.7109375" style="157" customWidth="1"/>
    <col min="2309" max="2309" width="11.5703125" style="157" customWidth="1"/>
    <col min="2310" max="2310" width="11.7109375" style="157" customWidth="1"/>
    <col min="2311" max="2552" width="9.140625" style="157"/>
    <col min="2553" max="2553" width="7.140625" style="157" customWidth="1"/>
    <col min="2554" max="2554" width="74.42578125" style="157" bestFit="1" customWidth="1"/>
    <col min="2555" max="2555" width="16.42578125" style="157" customWidth="1"/>
    <col min="2556" max="2556" width="14.7109375" style="157" customWidth="1"/>
    <col min="2557" max="2557" width="6.140625" style="157" customWidth="1"/>
    <col min="2558" max="2558" width="37.140625" style="157" customWidth="1"/>
    <col min="2559" max="2559" width="14.85546875" style="157" customWidth="1"/>
    <col min="2560" max="2560" width="17.28515625" style="157" customWidth="1"/>
    <col min="2561" max="2561" width="13.42578125" style="157" customWidth="1"/>
    <col min="2562" max="2562" width="15.28515625" style="157" customWidth="1"/>
    <col min="2563" max="2563" width="13.140625" style="157" customWidth="1"/>
    <col min="2564" max="2564" width="16.7109375" style="157" customWidth="1"/>
    <col min="2565" max="2565" width="11.5703125" style="157" customWidth="1"/>
    <col min="2566" max="2566" width="11.7109375" style="157" customWidth="1"/>
    <col min="2567" max="2808" width="9.140625" style="157"/>
    <col min="2809" max="2809" width="7.140625" style="157" customWidth="1"/>
    <col min="2810" max="2810" width="74.42578125" style="157" bestFit="1" customWidth="1"/>
    <col min="2811" max="2811" width="16.42578125" style="157" customWidth="1"/>
    <col min="2812" max="2812" width="14.7109375" style="157" customWidth="1"/>
    <col min="2813" max="2813" width="6.140625" style="157" customWidth="1"/>
    <col min="2814" max="2814" width="37.140625" style="157" customWidth="1"/>
    <col min="2815" max="2815" width="14.85546875" style="157" customWidth="1"/>
    <col min="2816" max="2816" width="17.28515625" style="157" customWidth="1"/>
    <col min="2817" max="2817" width="13.42578125" style="157" customWidth="1"/>
    <col min="2818" max="2818" width="15.28515625" style="157" customWidth="1"/>
    <col min="2819" max="2819" width="13.140625" style="157" customWidth="1"/>
    <col min="2820" max="2820" width="16.7109375" style="157" customWidth="1"/>
    <col min="2821" max="2821" width="11.5703125" style="157" customWidth="1"/>
    <col min="2822" max="2822" width="11.7109375" style="157" customWidth="1"/>
    <col min="2823" max="3064" width="9.140625" style="157"/>
    <col min="3065" max="3065" width="7.140625" style="157" customWidth="1"/>
    <col min="3066" max="3066" width="74.42578125" style="157" bestFit="1" customWidth="1"/>
    <col min="3067" max="3067" width="16.42578125" style="157" customWidth="1"/>
    <col min="3068" max="3068" width="14.7109375" style="157" customWidth="1"/>
    <col min="3069" max="3069" width="6.140625" style="157" customWidth="1"/>
    <col min="3070" max="3070" width="37.140625" style="157" customWidth="1"/>
    <col min="3071" max="3071" width="14.85546875" style="157" customWidth="1"/>
    <col min="3072" max="3072" width="17.28515625" style="157" customWidth="1"/>
    <col min="3073" max="3073" width="13.42578125" style="157" customWidth="1"/>
    <col min="3074" max="3074" width="15.28515625" style="157" customWidth="1"/>
    <col min="3075" max="3075" width="13.140625" style="157" customWidth="1"/>
    <col min="3076" max="3076" width="16.7109375" style="157" customWidth="1"/>
    <col min="3077" max="3077" width="11.5703125" style="157" customWidth="1"/>
    <col min="3078" max="3078" width="11.7109375" style="157" customWidth="1"/>
    <col min="3079" max="3320" width="9.140625" style="157"/>
    <col min="3321" max="3321" width="7.140625" style="157" customWidth="1"/>
    <col min="3322" max="3322" width="74.42578125" style="157" bestFit="1" customWidth="1"/>
    <col min="3323" max="3323" width="16.42578125" style="157" customWidth="1"/>
    <col min="3324" max="3324" width="14.7109375" style="157" customWidth="1"/>
    <col min="3325" max="3325" width="6.140625" style="157" customWidth="1"/>
    <col min="3326" max="3326" width="37.140625" style="157" customWidth="1"/>
    <col min="3327" max="3327" width="14.85546875" style="157" customWidth="1"/>
    <col min="3328" max="3328" width="17.28515625" style="157" customWidth="1"/>
    <col min="3329" max="3329" width="13.42578125" style="157" customWidth="1"/>
    <col min="3330" max="3330" width="15.28515625" style="157" customWidth="1"/>
    <col min="3331" max="3331" width="13.140625" style="157" customWidth="1"/>
    <col min="3332" max="3332" width="16.7109375" style="157" customWidth="1"/>
    <col min="3333" max="3333" width="11.5703125" style="157" customWidth="1"/>
    <col min="3334" max="3334" width="11.7109375" style="157" customWidth="1"/>
    <col min="3335" max="3576" width="9.140625" style="157"/>
    <col min="3577" max="3577" width="7.140625" style="157" customWidth="1"/>
    <col min="3578" max="3578" width="74.42578125" style="157" bestFit="1" customWidth="1"/>
    <col min="3579" max="3579" width="16.42578125" style="157" customWidth="1"/>
    <col min="3580" max="3580" width="14.7109375" style="157" customWidth="1"/>
    <col min="3581" max="3581" width="6.140625" style="157" customWidth="1"/>
    <col min="3582" max="3582" width="37.140625" style="157" customWidth="1"/>
    <col min="3583" max="3583" width="14.85546875" style="157" customWidth="1"/>
    <col min="3584" max="3584" width="17.28515625" style="157" customWidth="1"/>
    <col min="3585" max="3585" width="13.42578125" style="157" customWidth="1"/>
    <col min="3586" max="3586" width="15.28515625" style="157" customWidth="1"/>
    <col min="3587" max="3587" width="13.140625" style="157" customWidth="1"/>
    <col min="3588" max="3588" width="16.7109375" style="157" customWidth="1"/>
    <col min="3589" max="3589" width="11.5703125" style="157" customWidth="1"/>
    <col min="3590" max="3590" width="11.7109375" style="157" customWidth="1"/>
    <col min="3591" max="3832" width="9.140625" style="157"/>
    <col min="3833" max="3833" width="7.140625" style="157" customWidth="1"/>
    <col min="3834" max="3834" width="74.42578125" style="157" bestFit="1" customWidth="1"/>
    <col min="3835" max="3835" width="16.42578125" style="157" customWidth="1"/>
    <col min="3836" max="3836" width="14.7109375" style="157" customWidth="1"/>
    <col min="3837" max="3837" width="6.140625" style="157" customWidth="1"/>
    <col min="3838" max="3838" width="37.140625" style="157" customWidth="1"/>
    <col min="3839" max="3839" width="14.85546875" style="157" customWidth="1"/>
    <col min="3840" max="3840" width="17.28515625" style="157" customWidth="1"/>
    <col min="3841" max="3841" width="13.42578125" style="157" customWidth="1"/>
    <col min="3842" max="3842" width="15.28515625" style="157" customWidth="1"/>
    <col min="3843" max="3843" width="13.140625" style="157" customWidth="1"/>
    <col min="3844" max="3844" width="16.7109375" style="157" customWidth="1"/>
    <col min="3845" max="3845" width="11.5703125" style="157" customWidth="1"/>
    <col min="3846" max="3846" width="11.7109375" style="157" customWidth="1"/>
    <col min="3847" max="4088" width="9.140625" style="157"/>
    <col min="4089" max="4089" width="7.140625" style="157" customWidth="1"/>
    <col min="4090" max="4090" width="74.42578125" style="157" bestFit="1" customWidth="1"/>
    <col min="4091" max="4091" width="16.42578125" style="157" customWidth="1"/>
    <col min="4092" max="4092" width="14.7109375" style="157" customWidth="1"/>
    <col min="4093" max="4093" width="6.140625" style="157" customWidth="1"/>
    <col min="4094" max="4094" width="37.140625" style="157" customWidth="1"/>
    <col min="4095" max="4095" width="14.85546875" style="157" customWidth="1"/>
    <col min="4096" max="4096" width="17.28515625" style="157" customWidth="1"/>
    <col min="4097" max="4097" width="13.42578125" style="157" customWidth="1"/>
    <col min="4098" max="4098" width="15.28515625" style="157" customWidth="1"/>
    <col min="4099" max="4099" width="13.140625" style="157" customWidth="1"/>
    <col min="4100" max="4100" width="16.7109375" style="157" customWidth="1"/>
    <col min="4101" max="4101" width="11.5703125" style="157" customWidth="1"/>
    <col min="4102" max="4102" width="11.7109375" style="157" customWidth="1"/>
    <col min="4103" max="4344" width="9.140625" style="157"/>
    <col min="4345" max="4345" width="7.140625" style="157" customWidth="1"/>
    <col min="4346" max="4346" width="74.42578125" style="157" bestFit="1" customWidth="1"/>
    <col min="4347" max="4347" width="16.42578125" style="157" customWidth="1"/>
    <col min="4348" max="4348" width="14.7109375" style="157" customWidth="1"/>
    <col min="4349" max="4349" width="6.140625" style="157" customWidth="1"/>
    <col min="4350" max="4350" width="37.140625" style="157" customWidth="1"/>
    <col min="4351" max="4351" width="14.85546875" style="157" customWidth="1"/>
    <col min="4352" max="4352" width="17.28515625" style="157" customWidth="1"/>
    <col min="4353" max="4353" width="13.42578125" style="157" customWidth="1"/>
    <col min="4354" max="4354" width="15.28515625" style="157" customWidth="1"/>
    <col min="4355" max="4355" width="13.140625" style="157" customWidth="1"/>
    <col min="4356" max="4356" width="16.7109375" style="157" customWidth="1"/>
    <col min="4357" max="4357" width="11.5703125" style="157" customWidth="1"/>
    <col min="4358" max="4358" width="11.7109375" style="157" customWidth="1"/>
    <col min="4359" max="4600" width="9.140625" style="157"/>
    <col min="4601" max="4601" width="7.140625" style="157" customWidth="1"/>
    <col min="4602" max="4602" width="74.42578125" style="157" bestFit="1" customWidth="1"/>
    <col min="4603" max="4603" width="16.42578125" style="157" customWidth="1"/>
    <col min="4604" max="4604" width="14.7109375" style="157" customWidth="1"/>
    <col min="4605" max="4605" width="6.140625" style="157" customWidth="1"/>
    <col min="4606" max="4606" width="37.140625" style="157" customWidth="1"/>
    <col min="4607" max="4607" width="14.85546875" style="157" customWidth="1"/>
    <col min="4608" max="4608" width="17.28515625" style="157" customWidth="1"/>
    <col min="4609" max="4609" width="13.42578125" style="157" customWidth="1"/>
    <col min="4610" max="4610" width="15.28515625" style="157" customWidth="1"/>
    <col min="4611" max="4611" width="13.140625" style="157" customWidth="1"/>
    <col min="4612" max="4612" width="16.7109375" style="157" customWidth="1"/>
    <col min="4613" max="4613" width="11.5703125" style="157" customWidth="1"/>
    <col min="4614" max="4614" width="11.7109375" style="157" customWidth="1"/>
    <col min="4615" max="4856" width="9.140625" style="157"/>
    <col min="4857" max="4857" width="7.140625" style="157" customWidth="1"/>
    <col min="4858" max="4858" width="74.42578125" style="157" bestFit="1" customWidth="1"/>
    <col min="4859" max="4859" width="16.42578125" style="157" customWidth="1"/>
    <col min="4860" max="4860" width="14.7109375" style="157" customWidth="1"/>
    <col min="4861" max="4861" width="6.140625" style="157" customWidth="1"/>
    <col min="4862" max="4862" width="37.140625" style="157" customWidth="1"/>
    <col min="4863" max="4863" width="14.85546875" style="157" customWidth="1"/>
    <col min="4864" max="4864" width="17.28515625" style="157" customWidth="1"/>
    <col min="4865" max="4865" width="13.42578125" style="157" customWidth="1"/>
    <col min="4866" max="4866" width="15.28515625" style="157" customWidth="1"/>
    <col min="4867" max="4867" width="13.140625" style="157" customWidth="1"/>
    <col min="4868" max="4868" width="16.7109375" style="157" customWidth="1"/>
    <col min="4869" max="4869" width="11.5703125" style="157" customWidth="1"/>
    <col min="4870" max="4870" width="11.7109375" style="157" customWidth="1"/>
    <col min="4871" max="5112" width="9.140625" style="157"/>
    <col min="5113" max="5113" width="7.140625" style="157" customWidth="1"/>
    <col min="5114" max="5114" width="74.42578125" style="157" bestFit="1" customWidth="1"/>
    <col min="5115" max="5115" width="16.42578125" style="157" customWidth="1"/>
    <col min="5116" max="5116" width="14.7109375" style="157" customWidth="1"/>
    <col min="5117" max="5117" width="6.140625" style="157" customWidth="1"/>
    <col min="5118" max="5118" width="37.140625" style="157" customWidth="1"/>
    <col min="5119" max="5119" width="14.85546875" style="157" customWidth="1"/>
    <col min="5120" max="5120" width="17.28515625" style="157" customWidth="1"/>
    <col min="5121" max="5121" width="13.42578125" style="157" customWidth="1"/>
    <col min="5122" max="5122" width="15.28515625" style="157" customWidth="1"/>
    <col min="5123" max="5123" width="13.140625" style="157" customWidth="1"/>
    <col min="5124" max="5124" width="16.7109375" style="157" customWidth="1"/>
    <col min="5125" max="5125" width="11.5703125" style="157" customWidth="1"/>
    <col min="5126" max="5126" width="11.7109375" style="157" customWidth="1"/>
    <col min="5127" max="5368" width="9.140625" style="157"/>
    <col min="5369" max="5369" width="7.140625" style="157" customWidth="1"/>
    <col min="5370" max="5370" width="74.42578125" style="157" bestFit="1" customWidth="1"/>
    <col min="5371" max="5371" width="16.42578125" style="157" customWidth="1"/>
    <col min="5372" max="5372" width="14.7109375" style="157" customWidth="1"/>
    <col min="5373" max="5373" width="6.140625" style="157" customWidth="1"/>
    <col min="5374" max="5374" width="37.140625" style="157" customWidth="1"/>
    <col min="5375" max="5375" width="14.85546875" style="157" customWidth="1"/>
    <col min="5376" max="5376" width="17.28515625" style="157" customWidth="1"/>
    <col min="5377" max="5377" width="13.42578125" style="157" customWidth="1"/>
    <col min="5378" max="5378" width="15.28515625" style="157" customWidth="1"/>
    <col min="5379" max="5379" width="13.140625" style="157" customWidth="1"/>
    <col min="5380" max="5380" width="16.7109375" style="157" customWidth="1"/>
    <col min="5381" max="5381" width="11.5703125" style="157" customWidth="1"/>
    <col min="5382" max="5382" width="11.7109375" style="157" customWidth="1"/>
    <col min="5383" max="5624" width="9.140625" style="157"/>
    <col min="5625" max="5625" width="7.140625" style="157" customWidth="1"/>
    <col min="5626" max="5626" width="74.42578125" style="157" bestFit="1" customWidth="1"/>
    <col min="5627" max="5627" width="16.42578125" style="157" customWidth="1"/>
    <col min="5628" max="5628" width="14.7109375" style="157" customWidth="1"/>
    <col min="5629" max="5629" width="6.140625" style="157" customWidth="1"/>
    <col min="5630" max="5630" width="37.140625" style="157" customWidth="1"/>
    <col min="5631" max="5631" width="14.85546875" style="157" customWidth="1"/>
    <col min="5632" max="5632" width="17.28515625" style="157" customWidth="1"/>
    <col min="5633" max="5633" width="13.42578125" style="157" customWidth="1"/>
    <col min="5634" max="5634" width="15.28515625" style="157" customWidth="1"/>
    <col min="5635" max="5635" width="13.140625" style="157" customWidth="1"/>
    <col min="5636" max="5636" width="16.7109375" style="157" customWidth="1"/>
    <col min="5637" max="5637" width="11.5703125" style="157" customWidth="1"/>
    <col min="5638" max="5638" width="11.7109375" style="157" customWidth="1"/>
    <col min="5639" max="5880" width="9.140625" style="157"/>
    <col min="5881" max="5881" width="7.140625" style="157" customWidth="1"/>
    <col min="5882" max="5882" width="74.42578125" style="157" bestFit="1" customWidth="1"/>
    <col min="5883" max="5883" width="16.42578125" style="157" customWidth="1"/>
    <col min="5884" max="5884" width="14.7109375" style="157" customWidth="1"/>
    <col min="5885" max="5885" width="6.140625" style="157" customWidth="1"/>
    <col min="5886" max="5886" width="37.140625" style="157" customWidth="1"/>
    <col min="5887" max="5887" width="14.85546875" style="157" customWidth="1"/>
    <col min="5888" max="5888" width="17.28515625" style="157" customWidth="1"/>
    <col min="5889" max="5889" width="13.42578125" style="157" customWidth="1"/>
    <col min="5890" max="5890" width="15.28515625" style="157" customWidth="1"/>
    <col min="5891" max="5891" width="13.140625" style="157" customWidth="1"/>
    <col min="5892" max="5892" width="16.7109375" style="157" customWidth="1"/>
    <col min="5893" max="5893" width="11.5703125" style="157" customWidth="1"/>
    <col min="5894" max="5894" width="11.7109375" style="157" customWidth="1"/>
    <col min="5895" max="6136" width="9.140625" style="157"/>
    <col min="6137" max="6137" width="7.140625" style="157" customWidth="1"/>
    <col min="6138" max="6138" width="74.42578125" style="157" bestFit="1" customWidth="1"/>
    <col min="6139" max="6139" width="16.42578125" style="157" customWidth="1"/>
    <col min="6140" max="6140" width="14.7109375" style="157" customWidth="1"/>
    <col min="6141" max="6141" width="6.140625" style="157" customWidth="1"/>
    <col min="6142" max="6142" width="37.140625" style="157" customWidth="1"/>
    <col min="6143" max="6143" width="14.85546875" style="157" customWidth="1"/>
    <col min="6144" max="6144" width="17.28515625" style="157" customWidth="1"/>
    <col min="6145" max="6145" width="13.42578125" style="157" customWidth="1"/>
    <col min="6146" max="6146" width="15.28515625" style="157" customWidth="1"/>
    <col min="6147" max="6147" width="13.140625" style="157" customWidth="1"/>
    <col min="6148" max="6148" width="16.7109375" style="157" customWidth="1"/>
    <col min="6149" max="6149" width="11.5703125" style="157" customWidth="1"/>
    <col min="6150" max="6150" width="11.7109375" style="157" customWidth="1"/>
    <col min="6151" max="6392" width="9.140625" style="157"/>
    <col min="6393" max="6393" width="7.140625" style="157" customWidth="1"/>
    <col min="6394" max="6394" width="74.42578125" style="157" bestFit="1" customWidth="1"/>
    <col min="6395" max="6395" width="16.42578125" style="157" customWidth="1"/>
    <col min="6396" max="6396" width="14.7109375" style="157" customWidth="1"/>
    <col min="6397" max="6397" width="6.140625" style="157" customWidth="1"/>
    <col min="6398" max="6398" width="37.140625" style="157" customWidth="1"/>
    <col min="6399" max="6399" width="14.85546875" style="157" customWidth="1"/>
    <col min="6400" max="6400" width="17.28515625" style="157" customWidth="1"/>
    <col min="6401" max="6401" width="13.42578125" style="157" customWidth="1"/>
    <col min="6402" max="6402" width="15.28515625" style="157" customWidth="1"/>
    <col min="6403" max="6403" width="13.140625" style="157" customWidth="1"/>
    <col min="6404" max="6404" width="16.7109375" style="157" customWidth="1"/>
    <col min="6405" max="6405" width="11.5703125" style="157" customWidth="1"/>
    <col min="6406" max="6406" width="11.7109375" style="157" customWidth="1"/>
    <col min="6407" max="6648" width="9.140625" style="157"/>
    <col min="6649" max="6649" width="7.140625" style="157" customWidth="1"/>
    <col min="6650" max="6650" width="74.42578125" style="157" bestFit="1" customWidth="1"/>
    <col min="6651" max="6651" width="16.42578125" style="157" customWidth="1"/>
    <col min="6652" max="6652" width="14.7109375" style="157" customWidth="1"/>
    <col min="6653" max="6653" width="6.140625" style="157" customWidth="1"/>
    <col min="6654" max="6654" width="37.140625" style="157" customWidth="1"/>
    <col min="6655" max="6655" width="14.85546875" style="157" customWidth="1"/>
    <col min="6656" max="6656" width="17.28515625" style="157" customWidth="1"/>
    <col min="6657" max="6657" width="13.42578125" style="157" customWidth="1"/>
    <col min="6658" max="6658" width="15.28515625" style="157" customWidth="1"/>
    <col min="6659" max="6659" width="13.140625" style="157" customWidth="1"/>
    <col min="6660" max="6660" width="16.7109375" style="157" customWidth="1"/>
    <col min="6661" max="6661" width="11.5703125" style="157" customWidth="1"/>
    <col min="6662" max="6662" width="11.7109375" style="157" customWidth="1"/>
    <col min="6663" max="6904" width="9.140625" style="157"/>
    <col min="6905" max="6905" width="7.140625" style="157" customWidth="1"/>
    <col min="6906" max="6906" width="74.42578125" style="157" bestFit="1" customWidth="1"/>
    <col min="6907" max="6907" width="16.42578125" style="157" customWidth="1"/>
    <col min="6908" max="6908" width="14.7109375" style="157" customWidth="1"/>
    <col min="6909" max="6909" width="6.140625" style="157" customWidth="1"/>
    <col min="6910" max="6910" width="37.140625" style="157" customWidth="1"/>
    <col min="6911" max="6911" width="14.85546875" style="157" customWidth="1"/>
    <col min="6912" max="6912" width="17.28515625" style="157" customWidth="1"/>
    <col min="6913" max="6913" width="13.42578125" style="157" customWidth="1"/>
    <col min="6914" max="6914" width="15.28515625" style="157" customWidth="1"/>
    <col min="6915" max="6915" width="13.140625" style="157" customWidth="1"/>
    <col min="6916" max="6916" width="16.7109375" style="157" customWidth="1"/>
    <col min="6917" max="6917" width="11.5703125" style="157" customWidth="1"/>
    <col min="6918" max="6918" width="11.7109375" style="157" customWidth="1"/>
    <col min="6919" max="7160" width="9.140625" style="157"/>
    <col min="7161" max="7161" width="7.140625" style="157" customWidth="1"/>
    <col min="7162" max="7162" width="74.42578125" style="157" bestFit="1" customWidth="1"/>
    <col min="7163" max="7163" width="16.42578125" style="157" customWidth="1"/>
    <col min="7164" max="7164" width="14.7109375" style="157" customWidth="1"/>
    <col min="7165" max="7165" width="6.140625" style="157" customWidth="1"/>
    <col min="7166" max="7166" width="37.140625" style="157" customWidth="1"/>
    <col min="7167" max="7167" width="14.85546875" style="157" customWidth="1"/>
    <col min="7168" max="7168" width="17.28515625" style="157" customWidth="1"/>
    <col min="7169" max="7169" width="13.42578125" style="157" customWidth="1"/>
    <col min="7170" max="7170" width="15.28515625" style="157" customWidth="1"/>
    <col min="7171" max="7171" width="13.140625" style="157" customWidth="1"/>
    <col min="7172" max="7172" width="16.7109375" style="157" customWidth="1"/>
    <col min="7173" max="7173" width="11.5703125" style="157" customWidth="1"/>
    <col min="7174" max="7174" width="11.7109375" style="157" customWidth="1"/>
    <col min="7175" max="7416" width="9.140625" style="157"/>
    <col min="7417" max="7417" width="7.140625" style="157" customWidth="1"/>
    <col min="7418" max="7418" width="74.42578125" style="157" bestFit="1" customWidth="1"/>
    <col min="7419" max="7419" width="16.42578125" style="157" customWidth="1"/>
    <col min="7420" max="7420" width="14.7109375" style="157" customWidth="1"/>
    <col min="7421" max="7421" width="6.140625" style="157" customWidth="1"/>
    <col min="7422" max="7422" width="37.140625" style="157" customWidth="1"/>
    <col min="7423" max="7423" width="14.85546875" style="157" customWidth="1"/>
    <col min="7424" max="7424" width="17.28515625" style="157" customWidth="1"/>
    <col min="7425" max="7425" width="13.42578125" style="157" customWidth="1"/>
    <col min="7426" max="7426" width="15.28515625" style="157" customWidth="1"/>
    <col min="7427" max="7427" width="13.140625" style="157" customWidth="1"/>
    <col min="7428" max="7428" width="16.7109375" style="157" customWidth="1"/>
    <col min="7429" max="7429" width="11.5703125" style="157" customWidth="1"/>
    <col min="7430" max="7430" width="11.7109375" style="157" customWidth="1"/>
    <col min="7431" max="7672" width="9.140625" style="157"/>
    <col min="7673" max="7673" width="7.140625" style="157" customWidth="1"/>
    <col min="7674" max="7674" width="74.42578125" style="157" bestFit="1" customWidth="1"/>
    <col min="7675" max="7675" width="16.42578125" style="157" customWidth="1"/>
    <col min="7676" max="7676" width="14.7109375" style="157" customWidth="1"/>
    <col min="7677" max="7677" width="6.140625" style="157" customWidth="1"/>
    <col min="7678" max="7678" width="37.140625" style="157" customWidth="1"/>
    <col min="7679" max="7679" width="14.85546875" style="157" customWidth="1"/>
    <col min="7680" max="7680" width="17.28515625" style="157" customWidth="1"/>
    <col min="7681" max="7681" width="13.42578125" style="157" customWidth="1"/>
    <col min="7682" max="7682" width="15.28515625" style="157" customWidth="1"/>
    <col min="7683" max="7683" width="13.140625" style="157" customWidth="1"/>
    <col min="7684" max="7684" width="16.7109375" style="157" customWidth="1"/>
    <col min="7685" max="7685" width="11.5703125" style="157" customWidth="1"/>
    <col min="7686" max="7686" width="11.7109375" style="157" customWidth="1"/>
    <col min="7687" max="7928" width="9.140625" style="157"/>
    <col min="7929" max="7929" width="7.140625" style="157" customWidth="1"/>
    <col min="7930" max="7930" width="74.42578125" style="157" bestFit="1" customWidth="1"/>
    <col min="7931" max="7931" width="16.42578125" style="157" customWidth="1"/>
    <col min="7932" max="7932" width="14.7109375" style="157" customWidth="1"/>
    <col min="7933" max="7933" width="6.140625" style="157" customWidth="1"/>
    <col min="7934" max="7934" width="37.140625" style="157" customWidth="1"/>
    <col min="7935" max="7935" width="14.85546875" style="157" customWidth="1"/>
    <col min="7936" max="7936" width="17.28515625" style="157" customWidth="1"/>
    <col min="7937" max="7937" width="13.42578125" style="157" customWidth="1"/>
    <col min="7938" max="7938" width="15.28515625" style="157" customWidth="1"/>
    <col min="7939" max="7939" width="13.140625" style="157" customWidth="1"/>
    <col min="7940" max="7940" width="16.7109375" style="157" customWidth="1"/>
    <col min="7941" max="7941" width="11.5703125" style="157" customWidth="1"/>
    <col min="7942" max="7942" width="11.7109375" style="157" customWidth="1"/>
    <col min="7943" max="8184" width="9.140625" style="157"/>
    <col min="8185" max="8185" width="7.140625" style="157" customWidth="1"/>
    <col min="8186" max="8186" width="74.42578125" style="157" bestFit="1" customWidth="1"/>
    <col min="8187" max="8187" width="16.42578125" style="157" customWidth="1"/>
    <col min="8188" max="8188" width="14.7109375" style="157" customWidth="1"/>
    <col min="8189" max="8189" width="6.140625" style="157" customWidth="1"/>
    <col min="8190" max="8190" width="37.140625" style="157" customWidth="1"/>
    <col min="8191" max="8191" width="14.85546875" style="157" customWidth="1"/>
    <col min="8192" max="8192" width="17.28515625" style="157" customWidth="1"/>
    <col min="8193" max="8193" width="13.42578125" style="157" customWidth="1"/>
    <col min="8194" max="8194" width="15.28515625" style="157" customWidth="1"/>
    <col min="8195" max="8195" width="13.140625" style="157" customWidth="1"/>
    <col min="8196" max="8196" width="16.7109375" style="157" customWidth="1"/>
    <col min="8197" max="8197" width="11.5703125" style="157" customWidth="1"/>
    <col min="8198" max="8198" width="11.7109375" style="157" customWidth="1"/>
    <col min="8199" max="8440" width="9.140625" style="157"/>
    <col min="8441" max="8441" width="7.140625" style="157" customWidth="1"/>
    <col min="8442" max="8442" width="74.42578125" style="157" bestFit="1" customWidth="1"/>
    <col min="8443" max="8443" width="16.42578125" style="157" customWidth="1"/>
    <col min="8444" max="8444" width="14.7109375" style="157" customWidth="1"/>
    <col min="8445" max="8445" width="6.140625" style="157" customWidth="1"/>
    <col min="8446" max="8446" width="37.140625" style="157" customWidth="1"/>
    <col min="8447" max="8447" width="14.85546875" style="157" customWidth="1"/>
    <col min="8448" max="8448" width="17.28515625" style="157" customWidth="1"/>
    <col min="8449" max="8449" width="13.42578125" style="157" customWidth="1"/>
    <col min="8450" max="8450" width="15.28515625" style="157" customWidth="1"/>
    <col min="8451" max="8451" width="13.140625" style="157" customWidth="1"/>
    <col min="8452" max="8452" width="16.7109375" style="157" customWidth="1"/>
    <col min="8453" max="8453" width="11.5703125" style="157" customWidth="1"/>
    <col min="8454" max="8454" width="11.7109375" style="157" customWidth="1"/>
    <col min="8455" max="8696" width="9.140625" style="157"/>
    <col min="8697" max="8697" width="7.140625" style="157" customWidth="1"/>
    <col min="8698" max="8698" width="74.42578125" style="157" bestFit="1" customWidth="1"/>
    <col min="8699" max="8699" width="16.42578125" style="157" customWidth="1"/>
    <col min="8700" max="8700" width="14.7109375" style="157" customWidth="1"/>
    <col min="8701" max="8701" width="6.140625" style="157" customWidth="1"/>
    <col min="8702" max="8702" width="37.140625" style="157" customWidth="1"/>
    <col min="8703" max="8703" width="14.85546875" style="157" customWidth="1"/>
    <col min="8704" max="8704" width="17.28515625" style="157" customWidth="1"/>
    <col min="8705" max="8705" width="13.42578125" style="157" customWidth="1"/>
    <col min="8706" max="8706" width="15.28515625" style="157" customWidth="1"/>
    <col min="8707" max="8707" width="13.140625" style="157" customWidth="1"/>
    <col min="8708" max="8708" width="16.7109375" style="157" customWidth="1"/>
    <col min="8709" max="8709" width="11.5703125" style="157" customWidth="1"/>
    <col min="8710" max="8710" width="11.7109375" style="157" customWidth="1"/>
    <col min="8711" max="8952" width="9.140625" style="157"/>
    <col min="8953" max="8953" width="7.140625" style="157" customWidth="1"/>
    <col min="8954" max="8954" width="74.42578125" style="157" bestFit="1" customWidth="1"/>
    <col min="8955" max="8955" width="16.42578125" style="157" customWidth="1"/>
    <col min="8956" max="8956" width="14.7109375" style="157" customWidth="1"/>
    <col min="8957" max="8957" width="6.140625" style="157" customWidth="1"/>
    <col min="8958" max="8958" width="37.140625" style="157" customWidth="1"/>
    <col min="8959" max="8959" width="14.85546875" style="157" customWidth="1"/>
    <col min="8960" max="8960" width="17.28515625" style="157" customWidth="1"/>
    <col min="8961" max="8961" width="13.42578125" style="157" customWidth="1"/>
    <col min="8962" max="8962" width="15.28515625" style="157" customWidth="1"/>
    <col min="8963" max="8963" width="13.140625" style="157" customWidth="1"/>
    <col min="8964" max="8964" width="16.7109375" style="157" customWidth="1"/>
    <col min="8965" max="8965" width="11.5703125" style="157" customWidth="1"/>
    <col min="8966" max="8966" width="11.7109375" style="157" customWidth="1"/>
    <col min="8967" max="9208" width="9.140625" style="157"/>
    <col min="9209" max="9209" width="7.140625" style="157" customWidth="1"/>
    <col min="9210" max="9210" width="74.42578125" style="157" bestFit="1" customWidth="1"/>
    <col min="9211" max="9211" width="16.42578125" style="157" customWidth="1"/>
    <col min="9212" max="9212" width="14.7109375" style="157" customWidth="1"/>
    <col min="9213" max="9213" width="6.140625" style="157" customWidth="1"/>
    <col min="9214" max="9214" width="37.140625" style="157" customWidth="1"/>
    <col min="9215" max="9215" width="14.85546875" style="157" customWidth="1"/>
    <col min="9216" max="9216" width="17.28515625" style="157" customWidth="1"/>
    <col min="9217" max="9217" width="13.42578125" style="157" customWidth="1"/>
    <col min="9218" max="9218" width="15.28515625" style="157" customWidth="1"/>
    <col min="9219" max="9219" width="13.140625" style="157" customWidth="1"/>
    <col min="9220" max="9220" width="16.7109375" style="157" customWidth="1"/>
    <col min="9221" max="9221" width="11.5703125" style="157" customWidth="1"/>
    <col min="9222" max="9222" width="11.7109375" style="157" customWidth="1"/>
    <col min="9223" max="9464" width="9.140625" style="157"/>
    <col min="9465" max="9465" width="7.140625" style="157" customWidth="1"/>
    <col min="9466" max="9466" width="74.42578125" style="157" bestFit="1" customWidth="1"/>
    <col min="9467" max="9467" width="16.42578125" style="157" customWidth="1"/>
    <col min="9468" max="9468" width="14.7109375" style="157" customWidth="1"/>
    <col min="9469" max="9469" width="6.140625" style="157" customWidth="1"/>
    <col min="9470" max="9470" width="37.140625" style="157" customWidth="1"/>
    <col min="9471" max="9471" width="14.85546875" style="157" customWidth="1"/>
    <col min="9472" max="9472" width="17.28515625" style="157" customWidth="1"/>
    <col min="9473" max="9473" width="13.42578125" style="157" customWidth="1"/>
    <col min="9474" max="9474" width="15.28515625" style="157" customWidth="1"/>
    <col min="9475" max="9475" width="13.140625" style="157" customWidth="1"/>
    <col min="9476" max="9476" width="16.7109375" style="157" customWidth="1"/>
    <col min="9477" max="9477" width="11.5703125" style="157" customWidth="1"/>
    <col min="9478" max="9478" width="11.7109375" style="157" customWidth="1"/>
    <col min="9479" max="9720" width="9.140625" style="157"/>
    <col min="9721" max="9721" width="7.140625" style="157" customWidth="1"/>
    <col min="9722" max="9722" width="74.42578125" style="157" bestFit="1" customWidth="1"/>
    <col min="9723" max="9723" width="16.42578125" style="157" customWidth="1"/>
    <col min="9724" max="9724" width="14.7109375" style="157" customWidth="1"/>
    <col min="9725" max="9725" width="6.140625" style="157" customWidth="1"/>
    <col min="9726" max="9726" width="37.140625" style="157" customWidth="1"/>
    <col min="9727" max="9727" width="14.85546875" style="157" customWidth="1"/>
    <col min="9728" max="9728" width="17.28515625" style="157" customWidth="1"/>
    <col min="9729" max="9729" width="13.42578125" style="157" customWidth="1"/>
    <col min="9730" max="9730" width="15.28515625" style="157" customWidth="1"/>
    <col min="9731" max="9731" width="13.140625" style="157" customWidth="1"/>
    <col min="9732" max="9732" width="16.7109375" style="157" customWidth="1"/>
    <col min="9733" max="9733" width="11.5703125" style="157" customWidth="1"/>
    <col min="9734" max="9734" width="11.7109375" style="157" customWidth="1"/>
    <col min="9735" max="9976" width="9.140625" style="157"/>
    <col min="9977" max="9977" width="7.140625" style="157" customWidth="1"/>
    <col min="9978" max="9978" width="74.42578125" style="157" bestFit="1" customWidth="1"/>
    <col min="9979" max="9979" width="16.42578125" style="157" customWidth="1"/>
    <col min="9980" max="9980" width="14.7109375" style="157" customWidth="1"/>
    <col min="9981" max="9981" width="6.140625" style="157" customWidth="1"/>
    <col min="9982" max="9982" width="37.140625" style="157" customWidth="1"/>
    <col min="9983" max="9983" width="14.85546875" style="157" customWidth="1"/>
    <col min="9984" max="9984" width="17.28515625" style="157" customWidth="1"/>
    <col min="9985" max="9985" width="13.42578125" style="157" customWidth="1"/>
    <col min="9986" max="9986" width="15.28515625" style="157" customWidth="1"/>
    <col min="9987" max="9987" width="13.140625" style="157" customWidth="1"/>
    <col min="9988" max="9988" width="16.7109375" style="157" customWidth="1"/>
    <col min="9989" max="9989" width="11.5703125" style="157" customWidth="1"/>
    <col min="9990" max="9990" width="11.7109375" style="157" customWidth="1"/>
    <col min="9991" max="10232" width="9.140625" style="157"/>
    <col min="10233" max="10233" width="7.140625" style="157" customWidth="1"/>
    <col min="10234" max="10234" width="74.42578125" style="157" bestFit="1" customWidth="1"/>
    <col min="10235" max="10235" width="16.42578125" style="157" customWidth="1"/>
    <col min="10236" max="10236" width="14.7109375" style="157" customWidth="1"/>
    <col min="10237" max="10237" width="6.140625" style="157" customWidth="1"/>
    <col min="10238" max="10238" width="37.140625" style="157" customWidth="1"/>
    <col min="10239" max="10239" width="14.85546875" style="157" customWidth="1"/>
    <col min="10240" max="10240" width="17.28515625" style="157" customWidth="1"/>
    <col min="10241" max="10241" width="13.42578125" style="157" customWidth="1"/>
    <col min="10242" max="10242" width="15.28515625" style="157" customWidth="1"/>
    <col min="10243" max="10243" width="13.140625" style="157" customWidth="1"/>
    <col min="10244" max="10244" width="16.7109375" style="157" customWidth="1"/>
    <col min="10245" max="10245" width="11.5703125" style="157" customWidth="1"/>
    <col min="10246" max="10246" width="11.7109375" style="157" customWidth="1"/>
    <col min="10247" max="10488" width="9.140625" style="157"/>
    <col min="10489" max="10489" width="7.140625" style="157" customWidth="1"/>
    <col min="10490" max="10490" width="74.42578125" style="157" bestFit="1" customWidth="1"/>
    <col min="10491" max="10491" width="16.42578125" style="157" customWidth="1"/>
    <col min="10492" max="10492" width="14.7109375" style="157" customWidth="1"/>
    <col min="10493" max="10493" width="6.140625" style="157" customWidth="1"/>
    <col min="10494" max="10494" width="37.140625" style="157" customWidth="1"/>
    <col min="10495" max="10495" width="14.85546875" style="157" customWidth="1"/>
    <col min="10496" max="10496" width="17.28515625" style="157" customWidth="1"/>
    <col min="10497" max="10497" width="13.42578125" style="157" customWidth="1"/>
    <col min="10498" max="10498" width="15.28515625" style="157" customWidth="1"/>
    <col min="10499" max="10499" width="13.140625" style="157" customWidth="1"/>
    <col min="10500" max="10500" width="16.7109375" style="157" customWidth="1"/>
    <col min="10501" max="10501" width="11.5703125" style="157" customWidth="1"/>
    <col min="10502" max="10502" width="11.7109375" style="157" customWidth="1"/>
    <col min="10503" max="10744" width="9.140625" style="157"/>
    <col min="10745" max="10745" width="7.140625" style="157" customWidth="1"/>
    <col min="10746" max="10746" width="74.42578125" style="157" bestFit="1" customWidth="1"/>
    <col min="10747" max="10747" width="16.42578125" style="157" customWidth="1"/>
    <col min="10748" max="10748" width="14.7109375" style="157" customWidth="1"/>
    <col min="10749" max="10749" width="6.140625" style="157" customWidth="1"/>
    <col min="10750" max="10750" width="37.140625" style="157" customWidth="1"/>
    <col min="10751" max="10751" width="14.85546875" style="157" customWidth="1"/>
    <col min="10752" max="10752" width="17.28515625" style="157" customWidth="1"/>
    <col min="10753" max="10753" width="13.42578125" style="157" customWidth="1"/>
    <col min="10754" max="10754" width="15.28515625" style="157" customWidth="1"/>
    <col min="10755" max="10755" width="13.140625" style="157" customWidth="1"/>
    <col min="10756" max="10756" width="16.7109375" style="157" customWidth="1"/>
    <col min="10757" max="10757" width="11.5703125" style="157" customWidth="1"/>
    <col min="10758" max="10758" width="11.7109375" style="157" customWidth="1"/>
    <col min="10759" max="11000" width="9.140625" style="157"/>
    <col min="11001" max="11001" width="7.140625" style="157" customWidth="1"/>
    <col min="11002" max="11002" width="74.42578125" style="157" bestFit="1" customWidth="1"/>
    <col min="11003" max="11003" width="16.42578125" style="157" customWidth="1"/>
    <col min="11004" max="11004" width="14.7109375" style="157" customWidth="1"/>
    <col min="11005" max="11005" width="6.140625" style="157" customWidth="1"/>
    <col min="11006" max="11006" width="37.140625" style="157" customWidth="1"/>
    <col min="11007" max="11007" width="14.85546875" style="157" customWidth="1"/>
    <col min="11008" max="11008" width="17.28515625" style="157" customWidth="1"/>
    <col min="11009" max="11009" width="13.42578125" style="157" customWidth="1"/>
    <col min="11010" max="11010" width="15.28515625" style="157" customWidth="1"/>
    <col min="11011" max="11011" width="13.140625" style="157" customWidth="1"/>
    <col min="11012" max="11012" width="16.7109375" style="157" customWidth="1"/>
    <col min="11013" max="11013" width="11.5703125" style="157" customWidth="1"/>
    <col min="11014" max="11014" width="11.7109375" style="157" customWidth="1"/>
    <col min="11015" max="11256" width="9.140625" style="157"/>
    <col min="11257" max="11257" width="7.140625" style="157" customWidth="1"/>
    <col min="11258" max="11258" width="74.42578125" style="157" bestFit="1" customWidth="1"/>
    <col min="11259" max="11259" width="16.42578125" style="157" customWidth="1"/>
    <col min="11260" max="11260" width="14.7109375" style="157" customWidth="1"/>
    <col min="11261" max="11261" width="6.140625" style="157" customWidth="1"/>
    <col min="11262" max="11262" width="37.140625" style="157" customWidth="1"/>
    <col min="11263" max="11263" width="14.85546875" style="157" customWidth="1"/>
    <col min="11264" max="11264" width="17.28515625" style="157" customWidth="1"/>
    <col min="11265" max="11265" width="13.42578125" style="157" customWidth="1"/>
    <col min="11266" max="11266" width="15.28515625" style="157" customWidth="1"/>
    <col min="11267" max="11267" width="13.140625" style="157" customWidth="1"/>
    <col min="11268" max="11268" width="16.7109375" style="157" customWidth="1"/>
    <col min="11269" max="11269" width="11.5703125" style="157" customWidth="1"/>
    <col min="11270" max="11270" width="11.7109375" style="157" customWidth="1"/>
    <col min="11271" max="11512" width="9.140625" style="157"/>
    <col min="11513" max="11513" width="7.140625" style="157" customWidth="1"/>
    <col min="11514" max="11514" width="74.42578125" style="157" bestFit="1" customWidth="1"/>
    <col min="11515" max="11515" width="16.42578125" style="157" customWidth="1"/>
    <col min="11516" max="11516" width="14.7109375" style="157" customWidth="1"/>
    <col min="11517" max="11517" width="6.140625" style="157" customWidth="1"/>
    <col min="11518" max="11518" width="37.140625" style="157" customWidth="1"/>
    <col min="11519" max="11519" width="14.85546875" style="157" customWidth="1"/>
    <col min="11520" max="11520" width="17.28515625" style="157" customWidth="1"/>
    <col min="11521" max="11521" width="13.42578125" style="157" customWidth="1"/>
    <col min="11522" max="11522" width="15.28515625" style="157" customWidth="1"/>
    <col min="11523" max="11523" width="13.140625" style="157" customWidth="1"/>
    <col min="11524" max="11524" width="16.7109375" style="157" customWidth="1"/>
    <col min="11525" max="11525" width="11.5703125" style="157" customWidth="1"/>
    <col min="11526" max="11526" width="11.7109375" style="157" customWidth="1"/>
    <col min="11527" max="11768" width="9.140625" style="157"/>
    <col min="11769" max="11769" width="7.140625" style="157" customWidth="1"/>
    <col min="11770" max="11770" width="74.42578125" style="157" bestFit="1" customWidth="1"/>
    <col min="11771" max="11771" width="16.42578125" style="157" customWidth="1"/>
    <col min="11772" max="11772" width="14.7109375" style="157" customWidth="1"/>
    <col min="11773" max="11773" width="6.140625" style="157" customWidth="1"/>
    <col min="11774" max="11774" width="37.140625" style="157" customWidth="1"/>
    <col min="11775" max="11775" width="14.85546875" style="157" customWidth="1"/>
    <col min="11776" max="11776" width="17.28515625" style="157" customWidth="1"/>
    <col min="11777" max="11777" width="13.42578125" style="157" customWidth="1"/>
    <col min="11778" max="11778" width="15.28515625" style="157" customWidth="1"/>
    <col min="11779" max="11779" width="13.140625" style="157" customWidth="1"/>
    <col min="11780" max="11780" width="16.7109375" style="157" customWidth="1"/>
    <col min="11781" max="11781" width="11.5703125" style="157" customWidth="1"/>
    <col min="11782" max="11782" width="11.7109375" style="157" customWidth="1"/>
    <col min="11783" max="12024" width="9.140625" style="157"/>
    <col min="12025" max="12025" width="7.140625" style="157" customWidth="1"/>
    <col min="12026" max="12026" width="74.42578125" style="157" bestFit="1" customWidth="1"/>
    <col min="12027" max="12027" width="16.42578125" style="157" customWidth="1"/>
    <col min="12028" max="12028" width="14.7109375" style="157" customWidth="1"/>
    <col min="12029" max="12029" width="6.140625" style="157" customWidth="1"/>
    <col min="12030" max="12030" width="37.140625" style="157" customWidth="1"/>
    <col min="12031" max="12031" width="14.85546875" style="157" customWidth="1"/>
    <col min="12032" max="12032" width="17.28515625" style="157" customWidth="1"/>
    <col min="12033" max="12033" width="13.42578125" style="157" customWidth="1"/>
    <col min="12034" max="12034" width="15.28515625" style="157" customWidth="1"/>
    <col min="12035" max="12035" width="13.140625" style="157" customWidth="1"/>
    <col min="12036" max="12036" width="16.7109375" style="157" customWidth="1"/>
    <col min="12037" max="12037" width="11.5703125" style="157" customWidth="1"/>
    <col min="12038" max="12038" width="11.7109375" style="157" customWidth="1"/>
    <col min="12039" max="12280" width="9.140625" style="157"/>
    <col min="12281" max="12281" width="7.140625" style="157" customWidth="1"/>
    <col min="12282" max="12282" width="74.42578125" style="157" bestFit="1" customWidth="1"/>
    <col min="12283" max="12283" width="16.42578125" style="157" customWidth="1"/>
    <col min="12284" max="12284" width="14.7109375" style="157" customWidth="1"/>
    <col min="12285" max="12285" width="6.140625" style="157" customWidth="1"/>
    <col min="12286" max="12286" width="37.140625" style="157" customWidth="1"/>
    <col min="12287" max="12287" width="14.85546875" style="157" customWidth="1"/>
    <col min="12288" max="12288" width="17.28515625" style="157" customWidth="1"/>
    <col min="12289" max="12289" width="13.42578125" style="157" customWidth="1"/>
    <col min="12290" max="12290" width="15.28515625" style="157" customWidth="1"/>
    <col min="12291" max="12291" width="13.140625" style="157" customWidth="1"/>
    <col min="12292" max="12292" width="16.7109375" style="157" customWidth="1"/>
    <col min="12293" max="12293" width="11.5703125" style="157" customWidth="1"/>
    <col min="12294" max="12294" width="11.7109375" style="157" customWidth="1"/>
    <col min="12295" max="12536" width="9.140625" style="157"/>
    <col min="12537" max="12537" width="7.140625" style="157" customWidth="1"/>
    <col min="12538" max="12538" width="74.42578125" style="157" bestFit="1" customWidth="1"/>
    <col min="12539" max="12539" width="16.42578125" style="157" customWidth="1"/>
    <col min="12540" max="12540" width="14.7109375" style="157" customWidth="1"/>
    <col min="12541" max="12541" width="6.140625" style="157" customWidth="1"/>
    <col min="12542" max="12542" width="37.140625" style="157" customWidth="1"/>
    <col min="12543" max="12543" width="14.85546875" style="157" customWidth="1"/>
    <col min="12544" max="12544" width="17.28515625" style="157" customWidth="1"/>
    <col min="12545" max="12545" width="13.42578125" style="157" customWidth="1"/>
    <col min="12546" max="12546" width="15.28515625" style="157" customWidth="1"/>
    <col min="12547" max="12547" width="13.140625" style="157" customWidth="1"/>
    <col min="12548" max="12548" width="16.7109375" style="157" customWidth="1"/>
    <col min="12549" max="12549" width="11.5703125" style="157" customWidth="1"/>
    <col min="12550" max="12550" width="11.7109375" style="157" customWidth="1"/>
    <col min="12551" max="12792" width="9.140625" style="157"/>
    <col min="12793" max="12793" width="7.140625" style="157" customWidth="1"/>
    <col min="12794" max="12794" width="74.42578125" style="157" bestFit="1" customWidth="1"/>
    <col min="12795" max="12795" width="16.42578125" style="157" customWidth="1"/>
    <col min="12796" max="12796" width="14.7109375" style="157" customWidth="1"/>
    <col min="12797" max="12797" width="6.140625" style="157" customWidth="1"/>
    <col min="12798" max="12798" width="37.140625" style="157" customWidth="1"/>
    <col min="12799" max="12799" width="14.85546875" style="157" customWidth="1"/>
    <col min="12800" max="12800" width="17.28515625" style="157" customWidth="1"/>
    <col min="12801" max="12801" width="13.42578125" style="157" customWidth="1"/>
    <col min="12802" max="12802" width="15.28515625" style="157" customWidth="1"/>
    <col min="12803" max="12803" width="13.140625" style="157" customWidth="1"/>
    <col min="12804" max="12804" width="16.7109375" style="157" customWidth="1"/>
    <col min="12805" max="12805" width="11.5703125" style="157" customWidth="1"/>
    <col min="12806" max="12806" width="11.7109375" style="157" customWidth="1"/>
    <col min="12807" max="13048" width="9.140625" style="157"/>
    <col min="13049" max="13049" width="7.140625" style="157" customWidth="1"/>
    <col min="13050" max="13050" width="74.42578125" style="157" bestFit="1" customWidth="1"/>
    <col min="13051" max="13051" width="16.42578125" style="157" customWidth="1"/>
    <col min="13052" max="13052" width="14.7109375" style="157" customWidth="1"/>
    <col min="13053" max="13053" width="6.140625" style="157" customWidth="1"/>
    <col min="13054" max="13054" width="37.140625" style="157" customWidth="1"/>
    <col min="13055" max="13055" width="14.85546875" style="157" customWidth="1"/>
    <col min="13056" max="13056" width="17.28515625" style="157" customWidth="1"/>
    <col min="13057" max="13057" width="13.42578125" style="157" customWidth="1"/>
    <col min="13058" max="13058" width="15.28515625" style="157" customWidth="1"/>
    <col min="13059" max="13059" width="13.140625" style="157" customWidth="1"/>
    <col min="13060" max="13060" width="16.7109375" style="157" customWidth="1"/>
    <col min="13061" max="13061" width="11.5703125" style="157" customWidth="1"/>
    <col min="13062" max="13062" width="11.7109375" style="157" customWidth="1"/>
    <col min="13063" max="13304" width="9.140625" style="157"/>
    <col min="13305" max="13305" width="7.140625" style="157" customWidth="1"/>
    <col min="13306" max="13306" width="74.42578125" style="157" bestFit="1" customWidth="1"/>
    <col min="13307" max="13307" width="16.42578125" style="157" customWidth="1"/>
    <col min="13308" max="13308" width="14.7109375" style="157" customWidth="1"/>
    <col min="13309" max="13309" width="6.140625" style="157" customWidth="1"/>
    <col min="13310" max="13310" width="37.140625" style="157" customWidth="1"/>
    <col min="13311" max="13311" width="14.85546875" style="157" customWidth="1"/>
    <col min="13312" max="13312" width="17.28515625" style="157" customWidth="1"/>
    <col min="13313" max="13313" width="13.42578125" style="157" customWidth="1"/>
    <col min="13314" max="13314" width="15.28515625" style="157" customWidth="1"/>
    <col min="13315" max="13315" width="13.140625" style="157" customWidth="1"/>
    <col min="13316" max="13316" width="16.7109375" style="157" customWidth="1"/>
    <col min="13317" max="13317" width="11.5703125" style="157" customWidth="1"/>
    <col min="13318" max="13318" width="11.7109375" style="157" customWidth="1"/>
    <col min="13319" max="13560" width="9.140625" style="157"/>
    <col min="13561" max="13561" width="7.140625" style="157" customWidth="1"/>
    <col min="13562" max="13562" width="74.42578125" style="157" bestFit="1" customWidth="1"/>
    <col min="13563" max="13563" width="16.42578125" style="157" customWidth="1"/>
    <col min="13564" max="13564" width="14.7109375" style="157" customWidth="1"/>
    <col min="13565" max="13565" width="6.140625" style="157" customWidth="1"/>
    <col min="13566" max="13566" width="37.140625" style="157" customWidth="1"/>
    <col min="13567" max="13567" width="14.85546875" style="157" customWidth="1"/>
    <col min="13568" max="13568" width="17.28515625" style="157" customWidth="1"/>
    <col min="13569" max="13569" width="13.42578125" style="157" customWidth="1"/>
    <col min="13570" max="13570" width="15.28515625" style="157" customWidth="1"/>
    <col min="13571" max="13571" width="13.140625" style="157" customWidth="1"/>
    <col min="13572" max="13572" width="16.7109375" style="157" customWidth="1"/>
    <col min="13573" max="13573" width="11.5703125" style="157" customWidth="1"/>
    <col min="13574" max="13574" width="11.7109375" style="157" customWidth="1"/>
    <col min="13575" max="13816" width="9.140625" style="157"/>
    <col min="13817" max="13817" width="7.140625" style="157" customWidth="1"/>
    <col min="13818" max="13818" width="74.42578125" style="157" bestFit="1" customWidth="1"/>
    <col min="13819" max="13819" width="16.42578125" style="157" customWidth="1"/>
    <col min="13820" max="13820" width="14.7109375" style="157" customWidth="1"/>
    <col min="13821" max="13821" width="6.140625" style="157" customWidth="1"/>
    <col min="13822" max="13822" width="37.140625" style="157" customWidth="1"/>
    <col min="13823" max="13823" width="14.85546875" style="157" customWidth="1"/>
    <col min="13824" max="13824" width="17.28515625" style="157" customWidth="1"/>
    <col min="13825" max="13825" width="13.42578125" style="157" customWidth="1"/>
    <col min="13826" max="13826" width="15.28515625" style="157" customWidth="1"/>
    <col min="13827" max="13827" width="13.140625" style="157" customWidth="1"/>
    <col min="13828" max="13828" width="16.7109375" style="157" customWidth="1"/>
    <col min="13829" max="13829" width="11.5703125" style="157" customWidth="1"/>
    <col min="13830" max="13830" width="11.7109375" style="157" customWidth="1"/>
    <col min="13831" max="14072" width="9.140625" style="157"/>
    <col min="14073" max="14073" width="7.140625" style="157" customWidth="1"/>
    <col min="14074" max="14074" width="74.42578125" style="157" bestFit="1" customWidth="1"/>
    <col min="14075" max="14075" width="16.42578125" style="157" customWidth="1"/>
    <col min="14076" max="14076" width="14.7109375" style="157" customWidth="1"/>
    <col min="14077" max="14077" width="6.140625" style="157" customWidth="1"/>
    <col min="14078" max="14078" width="37.140625" style="157" customWidth="1"/>
    <col min="14079" max="14079" width="14.85546875" style="157" customWidth="1"/>
    <col min="14080" max="14080" width="17.28515625" style="157" customWidth="1"/>
    <col min="14081" max="14081" width="13.42578125" style="157" customWidth="1"/>
    <col min="14082" max="14082" width="15.28515625" style="157" customWidth="1"/>
    <col min="14083" max="14083" width="13.140625" style="157" customWidth="1"/>
    <col min="14084" max="14084" width="16.7109375" style="157" customWidth="1"/>
    <col min="14085" max="14085" width="11.5703125" style="157" customWidth="1"/>
    <col min="14086" max="14086" width="11.7109375" style="157" customWidth="1"/>
    <col min="14087" max="14328" width="9.140625" style="157"/>
    <col min="14329" max="14329" width="7.140625" style="157" customWidth="1"/>
    <col min="14330" max="14330" width="74.42578125" style="157" bestFit="1" customWidth="1"/>
    <col min="14331" max="14331" width="16.42578125" style="157" customWidth="1"/>
    <col min="14332" max="14332" width="14.7109375" style="157" customWidth="1"/>
    <col min="14333" max="14333" width="6.140625" style="157" customWidth="1"/>
    <col min="14334" max="14334" width="37.140625" style="157" customWidth="1"/>
    <col min="14335" max="14335" width="14.85546875" style="157" customWidth="1"/>
    <col min="14336" max="14336" width="17.28515625" style="157" customWidth="1"/>
    <col min="14337" max="14337" width="13.42578125" style="157" customWidth="1"/>
    <col min="14338" max="14338" width="15.28515625" style="157" customWidth="1"/>
    <col min="14339" max="14339" width="13.140625" style="157" customWidth="1"/>
    <col min="14340" max="14340" width="16.7109375" style="157" customWidth="1"/>
    <col min="14341" max="14341" width="11.5703125" style="157" customWidth="1"/>
    <col min="14342" max="14342" width="11.7109375" style="157" customWidth="1"/>
    <col min="14343" max="14584" width="9.140625" style="157"/>
    <col min="14585" max="14585" width="7.140625" style="157" customWidth="1"/>
    <col min="14586" max="14586" width="74.42578125" style="157" bestFit="1" customWidth="1"/>
    <col min="14587" max="14587" width="16.42578125" style="157" customWidth="1"/>
    <col min="14588" max="14588" width="14.7109375" style="157" customWidth="1"/>
    <col min="14589" max="14589" width="6.140625" style="157" customWidth="1"/>
    <col min="14590" max="14590" width="37.140625" style="157" customWidth="1"/>
    <col min="14591" max="14591" width="14.85546875" style="157" customWidth="1"/>
    <col min="14592" max="14592" width="17.28515625" style="157" customWidth="1"/>
    <col min="14593" max="14593" width="13.42578125" style="157" customWidth="1"/>
    <col min="14594" max="14594" width="15.28515625" style="157" customWidth="1"/>
    <col min="14595" max="14595" width="13.140625" style="157" customWidth="1"/>
    <col min="14596" max="14596" width="16.7109375" style="157" customWidth="1"/>
    <col min="14597" max="14597" width="11.5703125" style="157" customWidth="1"/>
    <col min="14598" max="14598" width="11.7109375" style="157" customWidth="1"/>
    <col min="14599" max="14840" width="9.140625" style="157"/>
    <col min="14841" max="14841" width="7.140625" style="157" customWidth="1"/>
    <col min="14842" max="14842" width="74.42578125" style="157" bestFit="1" customWidth="1"/>
    <col min="14843" max="14843" width="16.42578125" style="157" customWidth="1"/>
    <col min="14844" max="14844" width="14.7109375" style="157" customWidth="1"/>
    <col min="14845" max="14845" width="6.140625" style="157" customWidth="1"/>
    <col min="14846" max="14846" width="37.140625" style="157" customWidth="1"/>
    <col min="14847" max="14847" width="14.85546875" style="157" customWidth="1"/>
    <col min="14848" max="14848" width="17.28515625" style="157" customWidth="1"/>
    <col min="14849" max="14849" width="13.42578125" style="157" customWidth="1"/>
    <col min="14850" max="14850" width="15.28515625" style="157" customWidth="1"/>
    <col min="14851" max="14851" width="13.140625" style="157" customWidth="1"/>
    <col min="14852" max="14852" width="16.7109375" style="157" customWidth="1"/>
    <col min="14853" max="14853" width="11.5703125" style="157" customWidth="1"/>
    <col min="14854" max="14854" width="11.7109375" style="157" customWidth="1"/>
    <col min="14855" max="15096" width="9.140625" style="157"/>
    <col min="15097" max="15097" width="7.140625" style="157" customWidth="1"/>
    <col min="15098" max="15098" width="74.42578125" style="157" bestFit="1" customWidth="1"/>
    <col min="15099" max="15099" width="16.42578125" style="157" customWidth="1"/>
    <col min="15100" max="15100" width="14.7109375" style="157" customWidth="1"/>
    <col min="15101" max="15101" width="6.140625" style="157" customWidth="1"/>
    <col min="15102" max="15102" width="37.140625" style="157" customWidth="1"/>
    <col min="15103" max="15103" width="14.85546875" style="157" customWidth="1"/>
    <col min="15104" max="15104" width="17.28515625" style="157" customWidth="1"/>
    <col min="15105" max="15105" width="13.42578125" style="157" customWidth="1"/>
    <col min="15106" max="15106" width="15.28515625" style="157" customWidth="1"/>
    <col min="15107" max="15107" width="13.140625" style="157" customWidth="1"/>
    <col min="15108" max="15108" width="16.7109375" style="157" customWidth="1"/>
    <col min="15109" max="15109" width="11.5703125" style="157" customWidth="1"/>
    <col min="15110" max="15110" width="11.7109375" style="157" customWidth="1"/>
    <col min="15111" max="15352" width="9.140625" style="157"/>
    <col min="15353" max="15353" width="7.140625" style="157" customWidth="1"/>
    <col min="15354" max="15354" width="74.42578125" style="157" bestFit="1" customWidth="1"/>
    <col min="15355" max="15355" width="16.42578125" style="157" customWidth="1"/>
    <col min="15356" max="15356" width="14.7109375" style="157" customWidth="1"/>
    <col min="15357" max="15357" width="6.140625" style="157" customWidth="1"/>
    <col min="15358" max="15358" width="37.140625" style="157" customWidth="1"/>
    <col min="15359" max="15359" width="14.85546875" style="157" customWidth="1"/>
    <col min="15360" max="15360" width="17.28515625" style="157" customWidth="1"/>
    <col min="15361" max="15361" width="13.42578125" style="157" customWidth="1"/>
    <col min="15362" max="15362" width="15.28515625" style="157" customWidth="1"/>
    <col min="15363" max="15363" width="13.140625" style="157" customWidth="1"/>
    <col min="15364" max="15364" width="16.7109375" style="157" customWidth="1"/>
    <col min="15365" max="15365" width="11.5703125" style="157" customWidth="1"/>
    <col min="15366" max="15366" width="11.7109375" style="157" customWidth="1"/>
    <col min="15367" max="15608" width="9.140625" style="157"/>
    <col min="15609" max="15609" width="7.140625" style="157" customWidth="1"/>
    <col min="15610" max="15610" width="74.42578125" style="157" bestFit="1" customWidth="1"/>
    <col min="15611" max="15611" width="16.42578125" style="157" customWidth="1"/>
    <col min="15612" max="15612" width="14.7109375" style="157" customWidth="1"/>
    <col min="15613" max="15613" width="6.140625" style="157" customWidth="1"/>
    <col min="15614" max="15614" width="37.140625" style="157" customWidth="1"/>
    <col min="15615" max="15615" width="14.85546875" style="157" customWidth="1"/>
    <col min="15616" max="15616" width="17.28515625" style="157" customWidth="1"/>
    <col min="15617" max="15617" width="13.42578125" style="157" customWidth="1"/>
    <col min="15618" max="15618" width="15.28515625" style="157" customWidth="1"/>
    <col min="15619" max="15619" width="13.140625" style="157" customWidth="1"/>
    <col min="15620" max="15620" width="16.7109375" style="157" customWidth="1"/>
    <col min="15621" max="15621" width="11.5703125" style="157" customWidth="1"/>
    <col min="15622" max="15622" width="11.7109375" style="157" customWidth="1"/>
    <col min="15623" max="15864" width="9.140625" style="157"/>
    <col min="15865" max="15865" width="7.140625" style="157" customWidth="1"/>
    <col min="15866" max="15866" width="74.42578125" style="157" bestFit="1" customWidth="1"/>
    <col min="15867" max="15867" width="16.42578125" style="157" customWidth="1"/>
    <col min="15868" max="15868" width="14.7109375" style="157" customWidth="1"/>
    <col min="15869" max="15869" width="6.140625" style="157" customWidth="1"/>
    <col min="15870" max="15870" width="37.140625" style="157" customWidth="1"/>
    <col min="15871" max="15871" width="14.85546875" style="157" customWidth="1"/>
    <col min="15872" max="15872" width="17.28515625" style="157" customWidth="1"/>
    <col min="15873" max="15873" width="13.42578125" style="157" customWidth="1"/>
    <col min="15874" max="15874" width="15.28515625" style="157" customWidth="1"/>
    <col min="15875" max="15875" width="13.140625" style="157" customWidth="1"/>
    <col min="15876" max="15876" width="16.7109375" style="157" customWidth="1"/>
    <col min="15877" max="15877" width="11.5703125" style="157" customWidth="1"/>
    <col min="15878" max="15878" width="11.7109375" style="157" customWidth="1"/>
    <col min="15879" max="16120" width="9.140625" style="157"/>
    <col min="16121" max="16121" width="7.140625" style="157" customWidth="1"/>
    <col min="16122" max="16122" width="74.42578125" style="157" bestFit="1" customWidth="1"/>
    <col min="16123" max="16123" width="16.42578125" style="157" customWidth="1"/>
    <col min="16124" max="16124" width="14.7109375" style="157" customWidth="1"/>
    <col min="16125" max="16125" width="6.140625" style="157" customWidth="1"/>
    <col min="16126" max="16126" width="37.140625" style="157" customWidth="1"/>
    <col min="16127" max="16127" width="14.85546875" style="157" customWidth="1"/>
    <col min="16128" max="16128" width="17.28515625" style="157" customWidth="1"/>
    <col min="16129" max="16129" width="13.42578125" style="157" customWidth="1"/>
    <col min="16130" max="16130" width="15.28515625" style="157" customWidth="1"/>
    <col min="16131" max="16131" width="13.140625" style="157" customWidth="1"/>
    <col min="16132" max="16132" width="16.7109375" style="157" customWidth="1"/>
    <col min="16133" max="16133" width="11.5703125" style="157" customWidth="1"/>
    <col min="16134" max="16134" width="11.7109375" style="157" customWidth="1"/>
    <col min="16135" max="16384" width="9.140625" style="157"/>
  </cols>
  <sheetData>
    <row r="1" spans="1:6" x14ac:dyDescent="0.2">
      <c r="A1" s="157">
        <f>ESTIMATOR!$E$6</f>
        <v>0</v>
      </c>
      <c r="C1" s="157">
        <f>ESTIMATOR!$H$6</f>
        <v>0</v>
      </c>
    </row>
    <row r="7" spans="1:6" ht="28.5" x14ac:dyDescent="0.2">
      <c r="B7" s="161" t="str">
        <f>"Gross Pay"&amp;"          "
&amp;DOLLAR(SUM(B8:B10),2)</f>
        <v>Gross Pay          $0.00</v>
      </c>
      <c r="C7" s="162" t="str">
        <f>"PreTax Deductions"</f>
        <v>PreTax Deductions</v>
      </c>
      <c r="D7" s="162" t="str">
        <f>"Taxes"</f>
        <v>Taxes</v>
      </c>
      <c r="E7" s="162" t="str">
        <f>"PostTax Deductions"</f>
        <v>PostTax Deductions</v>
      </c>
      <c r="F7" s="161" t="str">
        <f>"Net Pay "
&amp;DOLLAR(SUM(F8:F10),2)</f>
        <v>Net Pay $0.00</v>
      </c>
    </row>
    <row r="8" spans="1:6" ht="56.25" customHeight="1" x14ac:dyDescent="0.2">
      <c r="A8" s="157" t="s">
        <v>226</v>
      </c>
      <c r="B8" s="161" t="str">
        <f>"Gross Pay"&amp;"          "
&amp;DOLLAR(SUM(B9:B11),2)</f>
        <v>Gross Pay          $0.00</v>
      </c>
      <c r="C8" s="162" t="str">
        <f>"PreTax Deductions"</f>
        <v>PreTax Deductions</v>
      </c>
      <c r="D8" s="162" t="str">
        <f>"Taxes"</f>
        <v>Taxes</v>
      </c>
      <c r="E8" s="162" t="str">
        <f>"PostTax Deductions"</f>
        <v>PostTax Deductions</v>
      </c>
      <c r="F8" s="161" t="str">
        <f>"Net Pay "
&amp;DOLLAR(SUM(F9:F11),2)</f>
        <v>Net Pay $0.00</v>
      </c>
    </row>
    <row r="9" spans="1:6" x14ac:dyDescent="0.2">
      <c r="A9" s="157" t="s">
        <v>222</v>
      </c>
      <c r="B9" s="224"/>
      <c r="C9" s="224">
        <f>B11+B10-C11</f>
        <v>0</v>
      </c>
      <c r="D9" s="224">
        <f>C9-D11</f>
        <v>0</v>
      </c>
      <c r="E9" s="224">
        <f>D9-E11</f>
        <v>0</v>
      </c>
      <c r="F9" s="224"/>
    </row>
    <row r="10" spans="1:6" x14ac:dyDescent="0.2">
      <c r="A10" s="157" t="s">
        <v>224</v>
      </c>
      <c r="B10" s="224">
        <f>SUM(ESTIMATOR!$AA$26:$AA$30)</f>
        <v>0</v>
      </c>
      <c r="C10" s="224"/>
      <c r="D10" s="224"/>
      <c r="E10" s="224"/>
      <c r="F10" s="224">
        <f>B10</f>
        <v>0</v>
      </c>
    </row>
    <row r="11" spans="1:6" x14ac:dyDescent="0.2">
      <c r="A11" s="157" t="s">
        <v>225</v>
      </c>
      <c r="B11" s="224">
        <f>ROUND(ESTIMATOR!$AA$31-SUM(ESTIMATOR!$AA$26:$AA$30),2)</f>
        <v>0</v>
      </c>
      <c r="C11" s="224">
        <f>ROUND(ESTIMATOR!$AA$46,2)</f>
        <v>0</v>
      </c>
      <c r="D11" s="224">
        <f>ROUND(ESTIMATOR!$AA$54,2)</f>
        <v>0</v>
      </c>
      <c r="E11" s="224">
        <f>ROUND(ESTIMATOR!$AA$86,2)</f>
        <v>0</v>
      </c>
      <c r="F11" s="224">
        <f>ROUND((ESTIMATOR!$AA$88-SUM(ESTIMATOR!$AA$26:$AA$30)),2)</f>
        <v>0</v>
      </c>
    </row>
    <row r="13" spans="1:6" x14ac:dyDescent="0.2">
      <c r="B13" s="159"/>
      <c r="E13" s="225"/>
    </row>
    <row r="34" spans="2:3" x14ac:dyDescent="0.2">
      <c r="B34" s="160"/>
    </row>
    <row r="35" spans="2:3" x14ac:dyDescent="0.2">
      <c r="B35" s="159"/>
    </row>
    <row r="36" spans="2:3" x14ac:dyDescent="0.2">
      <c r="B36" s="159"/>
      <c r="C36" s="159"/>
    </row>
    <row r="37" spans="2:3" x14ac:dyDescent="0.2">
      <c r="B37" s="159"/>
    </row>
    <row r="50" spans="1:14" s="158" customFormat="1" x14ac:dyDescent="0.2">
      <c r="A50" s="157"/>
      <c r="B50" s="157"/>
      <c r="C50" s="157"/>
      <c r="D50" s="157"/>
      <c r="E50" s="157"/>
      <c r="F50" s="157"/>
      <c r="G50" s="157"/>
      <c r="H50" s="157"/>
      <c r="I50" s="157"/>
      <c r="J50" s="157"/>
      <c r="K50" s="157"/>
      <c r="L50" s="157"/>
      <c r="M50" s="157"/>
      <c r="N50" s="157"/>
    </row>
    <row r="51" spans="1:14" s="158" customFormat="1" x14ac:dyDescent="0.2">
      <c r="A51" s="157"/>
      <c r="B51" s="157"/>
      <c r="C51" s="157"/>
      <c r="D51" s="157"/>
      <c r="E51" s="157"/>
      <c r="F51" s="157"/>
      <c r="G51" s="157"/>
      <c r="H51" s="157"/>
      <c r="I51" s="157"/>
      <c r="J51" s="157"/>
      <c r="K51" s="157"/>
      <c r="L51" s="157"/>
      <c r="M51" s="157"/>
      <c r="N51" s="157"/>
    </row>
    <row r="52" spans="1:14" s="158" customFormat="1" x14ac:dyDescent="0.2">
      <c r="A52" s="157"/>
      <c r="B52" s="157"/>
      <c r="C52" s="157"/>
      <c r="D52" s="157"/>
      <c r="E52" s="157"/>
      <c r="F52" s="157"/>
      <c r="G52" s="157"/>
      <c r="H52" s="157"/>
      <c r="I52" s="157"/>
      <c r="J52" s="157"/>
      <c r="K52" s="157"/>
      <c r="L52" s="157"/>
      <c r="M52" s="157"/>
      <c r="N52" s="157"/>
    </row>
    <row r="53" spans="1:14" s="158" customFormat="1" x14ac:dyDescent="0.2">
      <c r="A53" s="157"/>
      <c r="B53" s="157"/>
      <c r="C53" s="157"/>
      <c r="D53" s="157"/>
      <c r="E53" s="157"/>
      <c r="F53" s="157"/>
      <c r="G53" s="157"/>
      <c r="H53" s="157"/>
      <c r="I53" s="157"/>
      <c r="J53" s="157"/>
      <c r="K53" s="157"/>
      <c r="L53" s="157"/>
      <c r="M53" s="157"/>
      <c r="N53" s="157"/>
    </row>
    <row r="54" spans="1:14" s="158" customFormat="1" x14ac:dyDescent="0.2">
      <c r="A54" s="157"/>
      <c r="B54" s="157"/>
      <c r="C54" s="157"/>
      <c r="D54" s="157"/>
      <c r="E54" s="157"/>
      <c r="F54" s="157"/>
      <c r="G54" s="157"/>
      <c r="H54" s="157"/>
      <c r="I54" s="157"/>
      <c r="J54" s="157"/>
      <c r="K54" s="157"/>
      <c r="L54" s="157"/>
      <c r="M54" s="157"/>
      <c r="N54" s="157"/>
    </row>
    <row r="55" spans="1:14" s="158" customFormat="1" x14ac:dyDescent="0.2">
      <c r="A55" s="157"/>
      <c r="B55" s="157"/>
      <c r="C55" s="157"/>
      <c r="D55" s="157"/>
      <c r="E55" s="157"/>
      <c r="F55" s="157"/>
      <c r="G55" s="157"/>
      <c r="H55" s="157"/>
      <c r="I55" s="157"/>
      <c r="J55" s="157"/>
      <c r="K55" s="157"/>
      <c r="L55" s="157"/>
      <c r="M55" s="157"/>
      <c r="N55" s="157"/>
    </row>
    <row r="56" spans="1:14" s="158" customFormat="1" x14ac:dyDescent="0.2">
      <c r="A56" s="157"/>
      <c r="B56" s="157"/>
      <c r="C56" s="157"/>
      <c r="D56" s="157"/>
      <c r="E56" s="157"/>
      <c r="F56" s="157"/>
      <c r="G56" s="157"/>
      <c r="H56" s="157"/>
      <c r="I56" s="157"/>
      <c r="J56" s="157"/>
      <c r="K56" s="157"/>
      <c r="L56" s="157"/>
      <c r="M56" s="157"/>
      <c r="N56" s="157"/>
    </row>
    <row r="57" spans="1:14" s="158" customFormat="1" x14ac:dyDescent="0.2">
      <c r="A57" s="157"/>
      <c r="B57" s="157"/>
      <c r="C57" s="157"/>
      <c r="D57" s="157"/>
      <c r="E57" s="157"/>
      <c r="F57" s="157"/>
      <c r="G57" s="157"/>
      <c r="H57" s="157"/>
      <c r="I57" s="157"/>
      <c r="J57" s="157"/>
      <c r="K57" s="157"/>
      <c r="L57" s="157"/>
      <c r="M57" s="157"/>
      <c r="N57" s="157"/>
    </row>
    <row r="58" spans="1:14" s="158" customFormat="1" x14ac:dyDescent="0.2">
      <c r="A58" s="157"/>
      <c r="B58" s="157"/>
      <c r="C58" s="157"/>
      <c r="D58" s="157"/>
      <c r="E58" s="157"/>
      <c r="F58" s="157"/>
      <c r="G58" s="157"/>
      <c r="H58" s="157"/>
      <c r="I58" s="157"/>
      <c r="J58" s="157"/>
      <c r="K58" s="157"/>
      <c r="L58" s="157"/>
      <c r="M58" s="157"/>
      <c r="N58" s="157"/>
    </row>
    <row r="59" spans="1:14" s="158" customFormat="1" x14ac:dyDescent="0.2">
      <c r="A59" s="157"/>
      <c r="B59" s="157"/>
      <c r="C59" s="157"/>
      <c r="D59" s="157"/>
      <c r="E59" s="157"/>
      <c r="F59" s="157"/>
      <c r="G59" s="157"/>
      <c r="H59" s="157"/>
      <c r="I59" s="157"/>
      <c r="J59" s="157"/>
      <c r="K59" s="157"/>
      <c r="L59" s="157"/>
      <c r="M59" s="157"/>
      <c r="N59" s="157"/>
    </row>
    <row r="60" spans="1:14" s="158" customFormat="1" x14ac:dyDescent="0.2">
      <c r="A60" s="157"/>
      <c r="B60" s="157"/>
      <c r="C60" s="157"/>
      <c r="D60" s="157"/>
      <c r="E60" s="157"/>
      <c r="F60" s="157"/>
      <c r="G60" s="157"/>
      <c r="H60" s="157"/>
      <c r="I60" s="157"/>
      <c r="J60" s="157"/>
      <c r="K60" s="157"/>
      <c r="L60" s="157"/>
      <c r="M60" s="157"/>
      <c r="N60" s="157"/>
    </row>
  </sheetData>
  <sheetProtection password="8E71" sheet="1" objects="1" scenarios="1"/>
  <printOptions horizontalCentered="1" verticalCentered="1"/>
  <pageMargins left="0.25" right="0.25" top="0.25" bottom="0.25"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outlinePr summaryBelow="0"/>
    <pageSetUpPr fitToPage="1"/>
  </sheetPr>
  <dimension ref="A1:R91"/>
  <sheetViews>
    <sheetView zoomScale="71" zoomScaleNormal="71" workbookViewId="0">
      <pane ySplit="7" topLeftCell="A74" activePane="bottomLeft" state="frozen"/>
      <selection activeCell="V44" sqref="V44"/>
      <selection pane="bottomLeft" activeCell="F49" sqref="F49"/>
    </sheetView>
  </sheetViews>
  <sheetFormatPr defaultRowHeight="15" x14ac:dyDescent="0.25"/>
  <cols>
    <col min="1" max="1" width="2.85546875" customWidth="1"/>
    <col min="2" max="2" width="1.28515625" customWidth="1"/>
    <col min="3" max="3" width="4.28515625" customWidth="1"/>
    <col min="4" max="4" width="4.7109375" customWidth="1"/>
    <col min="5" max="5" width="46.42578125" customWidth="1"/>
    <col min="6" max="6" width="15.140625" customWidth="1"/>
    <col min="7" max="7" width="15.5703125" customWidth="1"/>
    <col min="8" max="8" width="15.85546875" customWidth="1"/>
    <col min="9" max="9" width="15.42578125" customWidth="1"/>
    <col min="10" max="10" width="16.140625" customWidth="1"/>
    <col min="11" max="11" width="17.85546875" customWidth="1"/>
    <col min="12" max="12" width="16.140625" customWidth="1"/>
    <col min="13" max="13" width="14.42578125" customWidth="1"/>
    <col min="14" max="14" width="16.42578125" customWidth="1"/>
    <col min="15" max="15" width="4.28515625" customWidth="1"/>
    <col min="16" max="16" width="0.85546875" customWidth="1"/>
    <col min="17" max="17" width="1.7109375" customWidth="1"/>
  </cols>
  <sheetData>
    <row r="1" spans="1:17" x14ac:dyDescent="0.25">
      <c r="A1" s="74"/>
      <c r="B1" s="74"/>
      <c r="C1" s="74"/>
      <c r="D1" s="74"/>
      <c r="E1" s="74"/>
      <c r="F1" s="74"/>
      <c r="G1" s="74"/>
      <c r="H1" s="74"/>
      <c r="I1" s="74"/>
      <c r="J1" s="74"/>
      <c r="K1" s="74"/>
      <c r="L1" s="74"/>
      <c r="M1" s="74"/>
      <c r="N1" s="74"/>
      <c r="O1" s="74"/>
      <c r="P1" s="74"/>
      <c r="Q1" s="74"/>
    </row>
    <row r="2" spans="1:17" ht="5.0999999999999996" customHeight="1" thickBot="1" x14ac:dyDescent="0.3">
      <c r="A2" s="74"/>
      <c r="B2" s="73"/>
      <c r="C2" s="73"/>
      <c r="D2" s="73"/>
      <c r="E2" s="73"/>
      <c r="F2" s="73"/>
      <c r="G2" s="73"/>
      <c r="H2" s="73"/>
      <c r="I2" s="73"/>
      <c r="J2" s="73"/>
      <c r="K2" s="73"/>
      <c r="L2" s="73"/>
      <c r="M2" s="73"/>
      <c r="N2" s="73"/>
      <c r="O2" s="73"/>
      <c r="P2" s="73"/>
      <c r="Q2" s="74"/>
    </row>
    <row r="3" spans="1:17" x14ac:dyDescent="0.25">
      <c r="A3" s="74"/>
      <c r="B3" s="73"/>
      <c r="C3" s="75"/>
      <c r="D3" s="76"/>
      <c r="E3" s="76"/>
      <c r="F3" s="76"/>
      <c r="G3" s="76"/>
      <c r="H3" s="76"/>
      <c r="I3" s="76"/>
      <c r="J3" s="76"/>
      <c r="K3" s="76"/>
      <c r="L3" s="76"/>
      <c r="M3" s="76"/>
      <c r="N3" s="76"/>
      <c r="O3" s="77"/>
      <c r="P3" s="73"/>
      <c r="Q3" s="74"/>
    </row>
    <row r="4" spans="1:17" ht="32.25" thickBot="1" x14ac:dyDescent="0.55000000000000004">
      <c r="A4" s="74"/>
      <c r="B4" s="73"/>
      <c r="C4" s="78"/>
      <c r="D4" s="79" t="s">
        <v>242</v>
      </c>
      <c r="E4" s="80"/>
      <c r="F4" s="80"/>
      <c r="G4" s="80"/>
      <c r="H4" s="80"/>
      <c r="I4" s="80"/>
      <c r="J4" s="80"/>
      <c r="K4" s="80"/>
      <c r="L4" s="80"/>
      <c r="M4" s="80"/>
      <c r="N4" s="80"/>
      <c r="O4" s="81"/>
      <c r="P4" s="73"/>
      <c r="Q4" s="74"/>
    </row>
    <row r="5" spans="1:17" ht="36.75" customHeight="1" x14ac:dyDescent="0.25">
      <c r="A5" s="74"/>
      <c r="B5" s="73"/>
      <c r="C5" s="78"/>
      <c r="D5" s="710" t="s">
        <v>245</v>
      </c>
      <c r="E5" s="711"/>
      <c r="F5" s="721" t="s">
        <v>134</v>
      </c>
      <c r="G5" s="724" t="s">
        <v>133</v>
      </c>
      <c r="H5" s="715" t="s">
        <v>154</v>
      </c>
      <c r="I5" s="715" t="s">
        <v>159</v>
      </c>
      <c r="J5" s="715" t="s">
        <v>155</v>
      </c>
      <c r="K5" s="715" t="s">
        <v>156</v>
      </c>
      <c r="L5" s="712" t="s">
        <v>227</v>
      </c>
      <c r="M5" s="715" t="s">
        <v>206</v>
      </c>
      <c r="N5" s="718" t="s">
        <v>228</v>
      </c>
      <c r="O5" s="81"/>
      <c r="P5" s="73"/>
      <c r="Q5" s="74"/>
    </row>
    <row r="6" spans="1:17" ht="20.100000000000001" customHeight="1" x14ac:dyDescent="0.25">
      <c r="A6" s="74"/>
      <c r="B6" s="73"/>
      <c r="C6" s="78"/>
      <c r="D6" s="710"/>
      <c r="E6" s="711"/>
      <c r="F6" s="722"/>
      <c r="G6" s="725"/>
      <c r="H6" s="716"/>
      <c r="I6" s="716"/>
      <c r="J6" s="716"/>
      <c r="K6" s="716"/>
      <c r="L6" s="713"/>
      <c r="M6" s="716"/>
      <c r="N6" s="719"/>
      <c r="O6" s="81"/>
      <c r="P6" s="73"/>
      <c r="Q6" s="74"/>
    </row>
    <row r="7" spans="1:17" ht="29.25" customHeight="1" thickBot="1" x14ac:dyDescent="0.3">
      <c r="A7" s="74"/>
      <c r="B7" s="73"/>
      <c r="C7" s="78"/>
      <c r="D7" s="99" t="s">
        <v>9</v>
      </c>
      <c r="E7" s="99"/>
      <c r="F7" s="723"/>
      <c r="G7" s="726"/>
      <c r="H7" s="717"/>
      <c r="I7" s="717"/>
      <c r="J7" s="717"/>
      <c r="K7" s="717"/>
      <c r="L7" s="714"/>
      <c r="M7" s="717"/>
      <c r="N7" s="720"/>
      <c r="O7" s="81"/>
      <c r="P7" s="73"/>
      <c r="Q7" s="74"/>
    </row>
    <row r="8" spans="1:17" x14ac:dyDescent="0.25">
      <c r="A8" s="74"/>
      <c r="B8" s="73"/>
      <c r="C8" s="78"/>
      <c r="D8" s="80"/>
      <c r="E8" s="95" t="s">
        <v>249</v>
      </c>
      <c r="F8" s="91">
        <f>ESTIMATOR!$Y8</f>
        <v>0</v>
      </c>
      <c r="G8" s="91">
        <f>ESTIMATOR!$Y8</f>
        <v>0</v>
      </c>
      <c r="H8" s="91">
        <f>ESTIMATOR!$Y8</f>
        <v>0</v>
      </c>
      <c r="I8" s="91">
        <f>ESTIMATOR!$Y8</f>
        <v>0</v>
      </c>
      <c r="J8" s="91">
        <f>ESTIMATOR!$Y8</f>
        <v>0</v>
      </c>
      <c r="K8" s="91">
        <f>ESTIMATOR!$Y8</f>
        <v>0</v>
      </c>
      <c r="L8" s="91">
        <f>ESTIMATOR!$Y8</f>
        <v>0</v>
      </c>
      <c r="M8" s="91">
        <f>ESTIMATOR!$Y8</f>
        <v>0</v>
      </c>
      <c r="N8" s="91">
        <f>ESTIMATOR!$Y8</f>
        <v>0</v>
      </c>
      <c r="O8" s="81"/>
      <c r="P8" s="73"/>
      <c r="Q8" s="74"/>
    </row>
    <row r="9" spans="1:17" x14ac:dyDescent="0.25">
      <c r="A9" s="74"/>
      <c r="B9" s="73"/>
      <c r="C9" s="78"/>
      <c r="D9" s="80"/>
      <c r="E9" s="95" t="s">
        <v>140</v>
      </c>
      <c r="F9" s="91">
        <f>ESTIMATOR!$Y9</f>
        <v>0</v>
      </c>
      <c r="G9" s="91">
        <f>ESTIMATOR!$Y9</f>
        <v>0</v>
      </c>
      <c r="H9" s="91">
        <f>ESTIMATOR!$Y9</f>
        <v>0</v>
      </c>
      <c r="I9" s="91">
        <f>ESTIMATOR!$Y9</f>
        <v>0</v>
      </c>
      <c r="J9" s="71"/>
      <c r="K9" s="71"/>
      <c r="L9" s="91">
        <f>ESTIMATOR!$Y9</f>
        <v>0</v>
      </c>
      <c r="M9" s="91">
        <f>ESTIMATOR!$Y9</f>
        <v>0</v>
      </c>
      <c r="N9" s="91">
        <f>ESTIMATOR!$Y9</f>
        <v>0</v>
      </c>
      <c r="O9" s="81"/>
      <c r="P9" s="73"/>
      <c r="Q9" s="74"/>
    </row>
    <row r="10" spans="1:17" x14ac:dyDescent="0.25">
      <c r="A10" s="74"/>
      <c r="B10" s="73"/>
      <c r="C10" s="78"/>
      <c r="D10" s="80"/>
      <c r="E10" s="95" t="s">
        <v>151</v>
      </c>
      <c r="F10" s="91">
        <f>ESTIMATOR!$Y10</f>
        <v>0</v>
      </c>
      <c r="G10" s="91">
        <f>ESTIMATOR!$Y10</f>
        <v>0</v>
      </c>
      <c r="H10" s="91">
        <f>ESTIMATOR!$Y10</f>
        <v>0</v>
      </c>
      <c r="I10" s="91">
        <f>ESTIMATOR!$Y10</f>
        <v>0</v>
      </c>
      <c r="J10" s="91">
        <f>ESTIMATOR!$Y10</f>
        <v>0</v>
      </c>
      <c r="K10" s="71"/>
      <c r="L10" s="91">
        <f>ESTIMATOR!$Y10</f>
        <v>0</v>
      </c>
      <c r="M10" s="91">
        <f>ESTIMATOR!$Y10</f>
        <v>0</v>
      </c>
      <c r="N10" s="91">
        <f>ESTIMATOR!$Y10</f>
        <v>0</v>
      </c>
      <c r="O10" s="81"/>
      <c r="P10" s="73"/>
      <c r="Q10" s="74"/>
    </row>
    <row r="11" spans="1:17" x14ac:dyDescent="0.25">
      <c r="A11" s="74"/>
      <c r="B11" s="73"/>
      <c r="C11" s="78"/>
      <c r="D11" s="80"/>
      <c r="E11" s="95" t="s">
        <v>152</v>
      </c>
      <c r="F11" s="91">
        <f>ESTIMATOR!$Y11</f>
        <v>0</v>
      </c>
      <c r="G11" s="91">
        <f>ESTIMATOR!$Y11</f>
        <v>0</v>
      </c>
      <c r="H11" s="91">
        <f>ESTIMATOR!$Y11</f>
        <v>0</v>
      </c>
      <c r="I11" s="91">
        <f>ESTIMATOR!$Y11</f>
        <v>0</v>
      </c>
      <c r="J11" s="91">
        <f>ESTIMATOR!$Y11</f>
        <v>0</v>
      </c>
      <c r="K11" s="71"/>
      <c r="L11" s="91">
        <f>ESTIMATOR!$Y11</f>
        <v>0</v>
      </c>
      <c r="M11" s="91">
        <f>ESTIMATOR!$Y11</f>
        <v>0</v>
      </c>
      <c r="N11" s="91">
        <f>ESTIMATOR!$Y11</f>
        <v>0</v>
      </c>
      <c r="O11" s="81"/>
      <c r="P11" s="73"/>
      <c r="Q11" s="74"/>
    </row>
    <row r="12" spans="1:17" x14ac:dyDescent="0.25">
      <c r="A12" s="74"/>
      <c r="B12" s="73"/>
      <c r="C12" s="78"/>
      <c r="D12" s="80"/>
      <c r="E12" s="95" t="s">
        <v>139</v>
      </c>
      <c r="F12" s="91">
        <f>ESTIMATOR!$Y12</f>
        <v>0</v>
      </c>
      <c r="G12" s="91">
        <f>ESTIMATOR!$Y12</f>
        <v>0</v>
      </c>
      <c r="H12" s="91">
        <f>ESTIMATOR!$Y12</f>
        <v>0</v>
      </c>
      <c r="I12" s="71"/>
      <c r="J12" s="71"/>
      <c r="K12" s="71"/>
      <c r="L12" s="91">
        <f>ESTIMATOR!$Y12</f>
        <v>0</v>
      </c>
      <c r="M12" s="91">
        <f>ESTIMATOR!$Y12</f>
        <v>0</v>
      </c>
      <c r="N12" s="91">
        <f>ESTIMATOR!$Y12</f>
        <v>0</v>
      </c>
      <c r="O12" s="81"/>
      <c r="P12" s="73"/>
      <c r="Q12" s="74"/>
    </row>
    <row r="13" spans="1:17" x14ac:dyDescent="0.25">
      <c r="A13" s="74"/>
      <c r="B13" s="73"/>
      <c r="C13" s="78"/>
      <c r="D13" s="80"/>
      <c r="E13" s="95" t="s">
        <v>157</v>
      </c>
      <c r="F13" s="91">
        <f>ESTIMATOR!$Y13</f>
        <v>0</v>
      </c>
      <c r="G13" s="91">
        <f>ESTIMATOR!$Y13</f>
        <v>0</v>
      </c>
      <c r="H13" s="91">
        <f>ESTIMATOR!$Y13</f>
        <v>0</v>
      </c>
      <c r="I13" s="91">
        <f>ESTIMATOR!$Y13</f>
        <v>0</v>
      </c>
      <c r="J13" s="91">
        <f>ESTIMATOR!$Y13</f>
        <v>0</v>
      </c>
      <c r="K13" s="91">
        <f>ESTIMATOR!$Y13</f>
        <v>0</v>
      </c>
      <c r="L13" s="91">
        <f>ESTIMATOR!$Y13</f>
        <v>0</v>
      </c>
      <c r="M13" s="91">
        <f>ESTIMATOR!$Y13</f>
        <v>0</v>
      </c>
      <c r="N13" s="91">
        <f>ESTIMATOR!$Y13</f>
        <v>0</v>
      </c>
      <c r="O13" s="81"/>
      <c r="P13" s="73"/>
      <c r="Q13" s="74"/>
    </row>
    <row r="14" spans="1:17" x14ac:dyDescent="0.25">
      <c r="A14" s="74"/>
      <c r="B14" s="73"/>
      <c r="C14" s="78"/>
      <c r="D14" s="80"/>
      <c r="E14" s="95" t="s">
        <v>290</v>
      </c>
      <c r="F14" s="91">
        <f>ESTIMATOR!$Y14</f>
        <v>0</v>
      </c>
      <c r="G14" s="91">
        <f>ESTIMATOR!$Y14</f>
        <v>0</v>
      </c>
      <c r="H14" s="91">
        <f>ESTIMATOR!$Y14</f>
        <v>0</v>
      </c>
      <c r="I14" s="91">
        <f>ESTIMATOR!$Y14</f>
        <v>0</v>
      </c>
      <c r="J14" s="91">
        <f>ESTIMATOR!$Y14</f>
        <v>0</v>
      </c>
      <c r="K14" s="91">
        <f>ESTIMATOR!$Y14</f>
        <v>0</v>
      </c>
      <c r="L14" s="91">
        <f>ESTIMATOR!$Y14</f>
        <v>0</v>
      </c>
      <c r="M14" s="91">
        <f>ESTIMATOR!$Y14</f>
        <v>0</v>
      </c>
      <c r="N14" s="91">
        <f>ESTIMATOR!$Y14</f>
        <v>0</v>
      </c>
      <c r="O14" s="81"/>
      <c r="P14" s="73"/>
      <c r="Q14" s="74"/>
    </row>
    <row r="15" spans="1:17" x14ac:dyDescent="0.25">
      <c r="A15" s="74"/>
      <c r="B15" s="73"/>
      <c r="C15" s="78"/>
      <c r="D15" s="80"/>
      <c r="E15" s="184" t="s">
        <v>292</v>
      </c>
      <c r="F15" s="91">
        <f>ESTIMATOR!$Y15</f>
        <v>0</v>
      </c>
      <c r="G15" s="91">
        <f>ESTIMATOR!$Y15</f>
        <v>0</v>
      </c>
      <c r="H15" s="71"/>
      <c r="I15" s="71"/>
      <c r="J15" s="71"/>
      <c r="K15" s="71"/>
      <c r="L15" s="91">
        <f>ESTIMATOR!$Y15</f>
        <v>0</v>
      </c>
      <c r="M15" s="91">
        <f>ESTIMATOR!$Y15</f>
        <v>0</v>
      </c>
      <c r="N15" s="91">
        <f>ESTIMATOR!$Y15</f>
        <v>0</v>
      </c>
      <c r="O15" s="81"/>
      <c r="P15" s="73"/>
      <c r="Q15" s="74"/>
    </row>
    <row r="16" spans="1:17" x14ac:dyDescent="0.25">
      <c r="A16" s="74"/>
      <c r="B16" s="73"/>
      <c r="C16" s="78"/>
      <c r="D16" s="80"/>
      <c r="E16" s="95" t="s">
        <v>200</v>
      </c>
      <c r="F16" s="91">
        <f>ESTIMATOR!$Y16</f>
        <v>0</v>
      </c>
      <c r="G16" s="91">
        <f>ESTIMATOR!$Y16</f>
        <v>0</v>
      </c>
      <c r="H16" s="91">
        <f>ESTIMATOR!$Y16</f>
        <v>0</v>
      </c>
      <c r="I16" s="91">
        <f>ESTIMATOR!$Y16</f>
        <v>0</v>
      </c>
      <c r="J16" s="91">
        <f>ESTIMATOR!$Y16</f>
        <v>0</v>
      </c>
      <c r="K16" s="71"/>
      <c r="L16" s="91">
        <f>ESTIMATOR!$Y16</f>
        <v>0</v>
      </c>
      <c r="M16" s="91">
        <f>ESTIMATOR!$Y16</f>
        <v>0</v>
      </c>
      <c r="N16" s="91">
        <f>ESTIMATOR!$Y16</f>
        <v>0</v>
      </c>
      <c r="O16" s="81"/>
      <c r="P16" s="73"/>
      <c r="Q16" s="74"/>
    </row>
    <row r="17" spans="1:17" x14ac:dyDescent="0.25">
      <c r="A17" s="74"/>
      <c r="B17" s="73"/>
      <c r="C17" s="78"/>
      <c r="D17" s="80"/>
      <c r="E17" s="95" t="s">
        <v>158</v>
      </c>
      <c r="F17" s="91">
        <f>ESTIMATOR!$Y17</f>
        <v>0</v>
      </c>
      <c r="G17" s="91">
        <f>ESTIMATOR!$Y17</f>
        <v>0</v>
      </c>
      <c r="H17" s="91">
        <f>ESTIMATOR!$Y17</f>
        <v>0</v>
      </c>
      <c r="I17" s="91">
        <f>ESTIMATOR!$Y17</f>
        <v>0</v>
      </c>
      <c r="J17" s="91">
        <f>ESTIMATOR!$Y17</f>
        <v>0</v>
      </c>
      <c r="K17" s="71"/>
      <c r="L17" s="91">
        <f>ESTIMATOR!$Y17</f>
        <v>0</v>
      </c>
      <c r="M17" s="91">
        <f>ESTIMATOR!$Y17</f>
        <v>0</v>
      </c>
      <c r="N17" s="91">
        <f>ESTIMATOR!$Y17</f>
        <v>0</v>
      </c>
      <c r="O17" s="81"/>
      <c r="P17" s="73"/>
      <c r="Q17" s="74"/>
    </row>
    <row r="18" spans="1:17" x14ac:dyDescent="0.25">
      <c r="A18" s="74"/>
      <c r="B18" s="73"/>
      <c r="C18" s="78"/>
      <c r="D18" s="80"/>
      <c r="E18" s="95" t="s">
        <v>253</v>
      </c>
      <c r="F18" s="91">
        <f>ESTIMATOR!$Y18</f>
        <v>0</v>
      </c>
      <c r="G18" s="91">
        <f>ESTIMATOR!$Y18</f>
        <v>0</v>
      </c>
      <c r="H18" s="91">
        <f>ESTIMATOR!$Y18</f>
        <v>0</v>
      </c>
      <c r="I18" s="91">
        <f>ESTIMATOR!$Y18</f>
        <v>0</v>
      </c>
      <c r="J18" s="91">
        <f>ESTIMATOR!$Y18</f>
        <v>0</v>
      </c>
      <c r="K18" s="71"/>
      <c r="L18" s="91">
        <f>ESTIMATOR!$Y18</f>
        <v>0</v>
      </c>
      <c r="M18" s="91">
        <f>ESTIMATOR!$Y18</f>
        <v>0</v>
      </c>
      <c r="N18" s="91">
        <f>ESTIMATOR!$Y18</f>
        <v>0</v>
      </c>
      <c r="O18" s="81"/>
      <c r="P18" s="73"/>
      <c r="Q18" s="74"/>
    </row>
    <row r="19" spans="1:17" x14ac:dyDescent="0.25">
      <c r="A19" s="74"/>
      <c r="B19" s="73"/>
      <c r="C19" s="78"/>
      <c r="D19" s="80"/>
      <c r="E19" s="184" t="s">
        <v>150</v>
      </c>
      <c r="F19" s="91">
        <f>ESTIMATOR!$Y19</f>
        <v>0</v>
      </c>
      <c r="G19" s="91">
        <f>ESTIMATOR!$Y19</f>
        <v>0</v>
      </c>
      <c r="H19" s="91">
        <f>ESTIMATOR!$Y19</f>
        <v>0</v>
      </c>
      <c r="I19" s="91">
        <f>ESTIMATOR!$Y19</f>
        <v>0</v>
      </c>
      <c r="J19" s="91">
        <f>ESTIMATOR!$Y19</f>
        <v>0</v>
      </c>
      <c r="K19" s="91">
        <f>ESTIMATOR!$Y19</f>
        <v>0</v>
      </c>
      <c r="L19" s="91">
        <f>ESTIMATOR!$Y19</f>
        <v>0</v>
      </c>
      <c r="M19" s="91">
        <f>ESTIMATOR!$Y19</f>
        <v>0</v>
      </c>
      <c r="N19" s="91">
        <f>ESTIMATOR!$Y19</f>
        <v>0</v>
      </c>
      <c r="O19" s="81"/>
      <c r="P19" s="73"/>
      <c r="Q19" s="74"/>
    </row>
    <row r="20" spans="1:17" x14ac:dyDescent="0.25">
      <c r="A20" s="74"/>
      <c r="B20" s="73"/>
      <c r="C20" s="78"/>
      <c r="D20" s="80"/>
      <c r="E20" s="95" t="s">
        <v>196</v>
      </c>
      <c r="F20" s="91">
        <f>ESTIMATOR!$Y20</f>
        <v>0</v>
      </c>
      <c r="G20" s="91">
        <f>ESTIMATOR!$Y20</f>
        <v>0</v>
      </c>
      <c r="H20" s="91">
        <f>IF(ESTIMATOR!$V20="Yes",ESTIMATOR!$Y20,0)</f>
        <v>0</v>
      </c>
      <c r="I20" s="71"/>
      <c r="J20" s="71"/>
      <c r="K20" s="71"/>
      <c r="L20" s="91">
        <f>ESTIMATOR!$Y20</f>
        <v>0</v>
      </c>
      <c r="M20" s="91">
        <f>ESTIMATOR!$Y20</f>
        <v>0</v>
      </c>
      <c r="N20" s="91">
        <f>ESTIMATOR!$Y20</f>
        <v>0</v>
      </c>
      <c r="O20" s="81"/>
      <c r="P20" s="73"/>
      <c r="Q20" s="74"/>
    </row>
    <row r="21" spans="1:17" x14ac:dyDescent="0.25">
      <c r="A21" s="74"/>
      <c r="B21" s="73"/>
      <c r="C21" s="78"/>
      <c r="D21" s="80"/>
      <c r="E21" s="95" t="s">
        <v>197</v>
      </c>
      <c r="F21" s="91">
        <f>ESTIMATOR!$Y21</f>
        <v>0</v>
      </c>
      <c r="G21" s="91">
        <f>ESTIMATOR!$Y21</f>
        <v>0</v>
      </c>
      <c r="H21" s="91">
        <f>IF(ESTIMATOR!$V21="Yes",ESTIMATOR!$Y21,0)</f>
        <v>0</v>
      </c>
      <c r="I21" s="71"/>
      <c r="J21" s="71"/>
      <c r="K21" s="71"/>
      <c r="L21" s="91">
        <f>ESTIMATOR!$Y21</f>
        <v>0</v>
      </c>
      <c r="M21" s="91">
        <f>ESTIMATOR!$Y21</f>
        <v>0</v>
      </c>
      <c r="N21" s="91">
        <f>ESTIMATOR!$Y21</f>
        <v>0</v>
      </c>
      <c r="O21" s="81"/>
      <c r="P21" s="73"/>
      <c r="Q21" s="74"/>
    </row>
    <row r="22" spans="1:17" x14ac:dyDescent="0.25">
      <c r="A22" s="74"/>
      <c r="B22" s="73"/>
      <c r="C22" s="78"/>
      <c r="D22" s="80"/>
      <c r="E22" s="95" t="s">
        <v>198</v>
      </c>
      <c r="F22" s="91">
        <f>ESTIMATOR!$Y22</f>
        <v>0</v>
      </c>
      <c r="G22" s="91">
        <f>ESTIMATOR!$Y22</f>
        <v>0</v>
      </c>
      <c r="H22" s="91">
        <f>IF(ESTIMATOR!$V22="Yes",ESTIMATOR!$Y22,0)</f>
        <v>0</v>
      </c>
      <c r="I22" s="91">
        <f>ESTIMATOR!$Y22</f>
        <v>0</v>
      </c>
      <c r="J22" s="71"/>
      <c r="K22" s="71"/>
      <c r="L22" s="91">
        <f>ESTIMATOR!$Y22</f>
        <v>0</v>
      </c>
      <c r="M22" s="91">
        <f>ESTIMATOR!$Y22</f>
        <v>0</v>
      </c>
      <c r="N22" s="91">
        <f>ESTIMATOR!$Y22</f>
        <v>0</v>
      </c>
      <c r="O22" s="81"/>
      <c r="P22" s="73"/>
      <c r="Q22" s="74"/>
    </row>
    <row r="23" spans="1:17" x14ac:dyDescent="0.25">
      <c r="A23" s="74"/>
      <c r="B23" s="73"/>
      <c r="C23" s="78"/>
      <c r="D23" s="80"/>
      <c r="E23" s="95" t="s">
        <v>199</v>
      </c>
      <c r="F23" s="91">
        <f>ESTIMATOR!$Y23</f>
        <v>0</v>
      </c>
      <c r="G23" s="91">
        <f>ESTIMATOR!$Y23</f>
        <v>0</v>
      </c>
      <c r="H23" s="91">
        <f>IF(ESTIMATOR!$V23="Yes",ESTIMATOR!$Y23,0)</f>
        <v>0</v>
      </c>
      <c r="I23" s="91">
        <f>ESTIMATOR!$Y23</f>
        <v>0</v>
      </c>
      <c r="J23" s="71"/>
      <c r="K23" s="71"/>
      <c r="L23" s="91">
        <f>ESTIMATOR!$Y23</f>
        <v>0</v>
      </c>
      <c r="M23" s="91">
        <f>ESTIMATOR!$Y23</f>
        <v>0</v>
      </c>
      <c r="N23" s="91">
        <f>ESTIMATOR!$Y23</f>
        <v>0</v>
      </c>
      <c r="O23" s="81"/>
      <c r="P23" s="73"/>
      <c r="Q23" s="74"/>
    </row>
    <row r="24" spans="1:17" x14ac:dyDescent="0.25">
      <c r="A24" s="74"/>
      <c r="B24" s="73"/>
      <c r="C24" s="78"/>
      <c r="D24" s="80"/>
      <c r="E24" s="95" t="s">
        <v>240</v>
      </c>
      <c r="F24" s="91">
        <f>ESTIMATOR!$Y24</f>
        <v>0</v>
      </c>
      <c r="G24" s="91">
        <f>ESTIMATOR!$Y24</f>
        <v>0</v>
      </c>
      <c r="H24" s="91">
        <f>IF(ESTIMATOR!$V24="Yes",ESTIMATOR!$Y24,0)</f>
        <v>0</v>
      </c>
      <c r="I24" s="71"/>
      <c r="J24" s="71"/>
      <c r="K24" s="71"/>
      <c r="L24" s="91">
        <f>ESTIMATOR!$Y24</f>
        <v>0</v>
      </c>
      <c r="M24" s="91">
        <f>ESTIMATOR!$Y24</f>
        <v>0</v>
      </c>
      <c r="N24" s="91">
        <f>ESTIMATOR!$Y24</f>
        <v>0</v>
      </c>
      <c r="O24" s="81"/>
      <c r="P24" s="73"/>
      <c r="Q24" s="74"/>
    </row>
    <row r="25" spans="1:17" x14ac:dyDescent="0.25">
      <c r="A25" s="74"/>
      <c r="B25" s="73"/>
      <c r="C25" s="78"/>
      <c r="D25" s="80"/>
      <c r="E25" s="184" t="s">
        <v>241</v>
      </c>
      <c r="F25" s="91">
        <f>ESTIMATOR!$Y25</f>
        <v>0</v>
      </c>
      <c r="G25" s="91">
        <f>ESTIMATOR!$Y25</f>
        <v>0</v>
      </c>
      <c r="H25" s="91">
        <f>IF(ESTIMATOR!$V25="Yes",ESTIMATOR!$Y25,0)</f>
        <v>0</v>
      </c>
      <c r="I25" s="71"/>
      <c r="J25" s="71"/>
      <c r="K25" s="71"/>
      <c r="L25" s="91">
        <f>ESTIMATOR!$Y25</f>
        <v>0</v>
      </c>
      <c r="M25" s="91">
        <f>ESTIMATOR!$Y25</f>
        <v>0</v>
      </c>
      <c r="N25" s="91">
        <f>ESTIMATOR!$Y25</f>
        <v>0</v>
      </c>
      <c r="O25" s="81"/>
      <c r="P25" s="73"/>
      <c r="Q25" s="74"/>
    </row>
    <row r="26" spans="1:17" x14ac:dyDescent="0.25">
      <c r="A26" s="74"/>
      <c r="B26" s="73"/>
      <c r="C26" s="78"/>
      <c r="D26" s="80"/>
      <c r="E26" s="95" t="s">
        <v>153</v>
      </c>
      <c r="F26" s="91">
        <f>ESTIMATOR!$Y26</f>
        <v>0</v>
      </c>
      <c r="G26" s="91">
        <f>ESTIMATOR!$Y26</f>
        <v>0</v>
      </c>
      <c r="H26" s="71"/>
      <c r="I26" s="71"/>
      <c r="J26" s="71"/>
      <c r="K26" s="71"/>
      <c r="L26" s="71"/>
      <c r="M26" s="71"/>
      <c r="N26" s="71"/>
      <c r="O26" s="81"/>
      <c r="P26" s="73"/>
      <c r="Q26" s="74"/>
    </row>
    <row r="27" spans="1:17" x14ac:dyDescent="0.25">
      <c r="A27" s="74"/>
      <c r="B27" s="73"/>
      <c r="C27" s="78"/>
      <c r="D27" s="80"/>
      <c r="E27" s="185" t="s">
        <v>252</v>
      </c>
      <c r="F27" s="91">
        <f>ESTIMATOR!$X$27</f>
        <v>0</v>
      </c>
      <c r="G27" s="91">
        <f>ESTIMATOR!$X$27</f>
        <v>0</v>
      </c>
      <c r="H27" s="71"/>
      <c r="I27" s="71"/>
      <c r="J27" s="71"/>
      <c r="K27" s="71"/>
      <c r="L27" s="71"/>
      <c r="M27" s="71"/>
      <c r="N27" s="71"/>
      <c r="O27" s="81"/>
      <c r="P27" s="73"/>
      <c r="Q27" s="74"/>
    </row>
    <row r="28" spans="1:17" x14ac:dyDescent="0.25">
      <c r="A28" s="74"/>
      <c r="B28" s="73"/>
      <c r="C28" s="78"/>
      <c r="D28" s="80"/>
      <c r="E28" s="95" t="s">
        <v>142</v>
      </c>
      <c r="F28" s="71"/>
      <c r="G28" s="71"/>
      <c r="H28" s="71"/>
      <c r="I28" s="71"/>
      <c r="J28" s="71"/>
      <c r="K28" s="71"/>
      <c r="L28" s="71"/>
      <c r="M28" s="71"/>
      <c r="N28" s="71"/>
      <c r="O28" s="81"/>
      <c r="P28" s="73"/>
      <c r="Q28" s="74"/>
    </row>
    <row r="29" spans="1:17" x14ac:dyDescent="0.25">
      <c r="A29" s="74"/>
      <c r="B29" s="73"/>
      <c r="C29" s="78"/>
      <c r="D29" s="80"/>
      <c r="E29" s="95" t="s">
        <v>143</v>
      </c>
      <c r="F29" s="71"/>
      <c r="G29" s="71"/>
      <c r="H29" s="71"/>
      <c r="I29" s="71"/>
      <c r="J29" s="71"/>
      <c r="K29" s="71"/>
      <c r="L29" s="71"/>
      <c r="M29" s="71"/>
      <c r="N29" s="71"/>
      <c r="O29" s="81"/>
      <c r="P29" s="73"/>
      <c r="Q29" s="74"/>
    </row>
    <row r="30" spans="1:17" x14ac:dyDescent="0.25">
      <c r="A30" s="74"/>
      <c r="B30" s="73"/>
      <c r="C30" s="78"/>
      <c r="D30" s="80"/>
      <c r="E30" s="98" t="s">
        <v>144</v>
      </c>
      <c r="F30" s="71"/>
      <c r="G30" s="71"/>
      <c r="H30" s="71"/>
      <c r="I30" s="71"/>
      <c r="J30" s="71"/>
      <c r="K30" s="71"/>
      <c r="L30" s="71"/>
      <c r="M30" s="71"/>
      <c r="N30" s="71"/>
      <c r="O30" s="81"/>
      <c r="P30" s="73"/>
      <c r="Q30" s="74"/>
    </row>
    <row r="31" spans="1:17" x14ac:dyDescent="0.25">
      <c r="A31" s="74"/>
      <c r="B31" s="73"/>
      <c r="C31" s="78"/>
      <c r="D31" s="80"/>
      <c r="E31" s="194" t="s">
        <v>0</v>
      </c>
      <c r="F31" s="151">
        <f t="shared" ref="F31:N31" si="0">SUM(F8:F30)</f>
        <v>0</v>
      </c>
      <c r="G31" s="151">
        <f t="shared" si="0"/>
        <v>0</v>
      </c>
      <c r="H31" s="198">
        <f>SUM(H8:H30)</f>
        <v>0</v>
      </c>
      <c r="I31" s="198">
        <f t="shared" si="0"/>
        <v>0</v>
      </c>
      <c r="J31" s="198">
        <f t="shared" si="0"/>
        <v>0</v>
      </c>
      <c r="K31" s="198">
        <f t="shared" si="0"/>
        <v>0</v>
      </c>
      <c r="L31" s="151">
        <f>SUM(L8:L30)</f>
        <v>0</v>
      </c>
      <c r="M31" s="151">
        <f t="shared" si="0"/>
        <v>0</v>
      </c>
      <c r="N31" s="151">
        <f t="shared" si="0"/>
        <v>0</v>
      </c>
      <c r="O31" s="81"/>
      <c r="P31" s="73"/>
      <c r="Q31" s="74"/>
    </row>
    <row r="32" spans="1:17" x14ac:dyDescent="0.25">
      <c r="A32" s="74"/>
      <c r="B32" s="73"/>
      <c r="C32" s="78"/>
      <c r="D32" s="80"/>
      <c r="E32" s="80"/>
      <c r="F32" s="67"/>
      <c r="G32" s="67"/>
      <c r="H32" s="80"/>
      <c r="I32" s="80"/>
      <c r="J32" s="80"/>
      <c r="K32" s="80"/>
      <c r="L32" s="67"/>
      <c r="M32" s="67"/>
      <c r="N32" s="67"/>
      <c r="O32" s="81"/>
      <c r="P32" s="73"/>
      <c r="Q32" s="74"/>
    </row>
    <row r="33" spans="1:18" x14ac:dyDescent="0.25">
      <c r="A33" s="74"/>
      <c r="B33" s="73"/>
      <c r="C33" s="78"/>
      <c r="D33" s="99" t="s">
        <v>118</v>
      </c>
      <c r="E33" s="97"/>
      <c r="F33" s="141"/>
      <c r="G33" s="141"/>
      <c r="H33" s="97"/>
      <c r="I33" s="97"/>
      <c r="J33" s="97"/>
      <c r="K33" s="182"/>
      <c r="L33" s="71"/>
      <c r="M33" s="71"/>
      <c r="N33" s="71"/>
      <c r="O33" s="81"/>
      <c r="P33" s="73"/>
      <c r="Q33" s="74"/>
    </row>
    <row r="34" spans="1:18" x14ac:dyDescent="0.25">
      <c r="A34" s="74"/>
      <c r="B34" s="73"/>
      <c r="C34" s="78"/>
      <c r="D34" s="80">
        <v>1</v>
      </c>
      <c r="E34" s="95" t="s">
        <v>23</v>
      </c>
      <c r="F34" s="91">
        <f>ESTIMATOR!$Y34</f>
        <v>0</v>
      </c>
      <c r="G34" s="71"/>
      <c r="H34" s="87"/>
      <c r="I34" s="87"/>
      <c r="J34" s="87"/>
      <c r="K34" s="87"/>
      <c r="L34" s="91">
        <f>ESTIMATOR!$Y34</f>
        <v>0</v>
      </c>
      <c r="M34" s="91">
        <f>ESTIMATOR!$Y34</f>
        <v>0</v>
      </c>
      <c r="N34" s="91">
        <f>ESTIMATOR!$Y34</f>
        <v>0</v>
      </c>
      <c r="O34" s="81"/>
      <c r="P34" s="73"/>
      <c r="Q34" s="74"/>
    </row>
    <row r="35" spans="1:18" x14ac:dyDescent="0.25">
      <c r="A35" s="74"/>
      <c r="B35" s="73"/>
      <c r="C35" s="78"/>
      <c r="D35" s="80">
        <v>3</v>
      </c>
      <c r="E35" s="184" t="s">
        <v>108</v>
      </c>
      <c r="F35" s="92">
        <f>ESTIMATOR!$Y35</f>
        <v>0</v>
      </c>
      <c r="G35" s="72"/>
      <c r="H35" s="98"/>
      <c r="I35" s="97"/>
      <c r="J35" s="97"/>
      <c r="K35" s="182"/>
      <c r="L35" s="91">
        <f>ESTIMATOR!$Y35</f>
        <v>0</v>
      </c>
      <c r="M35" s="91">
        <f>ESTIMATOR!$Y35</f>
        <v>0</v>
      </c>
      <c r="N35" s="91">
        <f>ESTIMATOR!$Y35</f>
        <v>0</v>
      </c>
      <c r="O35" s="81"/>
      <c r="P35" s="73"/>
      <c r="Q35" s="74"/>
    </row>
    <row r="36" spans="1:18" x14ac:dyDescent="0.25">
      <c r="A36" s="74"/>
      <c r="B36" s="73"/>
      <c r="C36" s="78"/>
      <c r="D36" s="80">
        <v>2</v>
      </c>
      <c r="E36" s="94" t="s">
        <v>109</v>
      </c>
      <c r="F36" s="91">
        <f>ESTIMATOR!$Y36</f>
        <v>0</v>
      </c>
      <c r="G36" s="91">
        <f>ESTIMATOR!$Y36</f>
        <v>0</v>
      </c>
      <c r="H36" s="80"/>
      <c r="I36" s="80"/>
      <c r="J36" s="80"/>
      <c r="K36" s="80"/>
      <c r="L36" s="71"/>
      <c r="M36" s="270">
        <f>ESTIMATOR!$Y36</f>
        <v>0</v>
      </c>
      <c r="N36" s="91">
        <f>ESTIMATOR!$Y36</f>
        <v>0</v>
      </c>
      <c r="O36" s="81"/>
      <c r="P36" s="73"/>
      <c r="Q36" s="74"/>
      <c r="R36" s="164"/>
    </row>
    <row r="37" spans="1:18" x14ac:dyDescent="0.25">
      <c r="A37" s="74"/>
      <c r="B37" s="73"/>
      <c r="C37" s="78"/>
      <c r="D37" s="80">
        <v>2</v>
      </c>
      <c r="E37" s="94" t="s">
        <v>110</v>
      </c>
      <c r="F37" s="91">
        <f>ESTIMATOR!$Y37</f>
        <v>0</v>
      </c>
      <c r="G37" s="91">
        <f>ESTIMATOR!$Y37</f>
        <v>0</v>
      </c>
      <c r="H37" s="80"/>
      <c r="I37" s="80"/>
      <c r="J37" s="80"/>
      <c r="K37" s="80"/>
      <c r="L37" s="71"/>
      <c r="M37" s="270">
        <f>ESTIMATOR!$Y37</f>
        <v>0</v>
      </c>
      <c r="N37" s="91">
        <f>ESTIMATOR!$Y37</f>
        <v>0</v>
      </c>
      <c r="O37" s="81"/>
      <c r="P37" s="73"/>
      <c r="Q37" s="74"/>
    </row>
    <row r="38" spans="1:18" x14ac:dyDescent="0.25">
      <c r="A38" s="74"/>
      <c r="B38" s="73"/>
      <c r="C38" s="78"/>
      <c r="D38" s="80">
        <v>4</v>
      </c>
      <c r="E38" s="94" t="s">
        <v>111</v>
      </c>
      <c r="F38" s="91">
        <f>ESTIMATOR!$Y38</f>
        <v>0</v>
      </c>
      <c r="G38" s="91">
        <f>ESTIMATOR!$Y38</f>
        <v>0</v>
      </c>
      <c r="H38" s="80"/>
      <c r="I38" s="80"/>
      <c r="J38" s="80"/>
      <c r="K38" s="80"/>
      <c r="L38" s="71"/>
      <c r="M38" s="270">
        <f>ESTIMATOR!$Y38</f>
        <v>0</v>
      </c>
      <c r="N38" s="91">
        <f>ESTIMATOR!$Y38</f>
        <v>0</v>
      </c>
      <c r="O38" s="81"/>
      <c r="P38" s="73"/>
      <c r="Q38" s="74"/>
    </row>
    <row r="39" spans="1:18" x14ac:dyDescent="0.25">
      <c r="A39" s="74"/>
      <c r="B39" s="73"/>
      <c r="C39" s="78"/>
      <c r="D39" s="80">
        <v>2</v>
      </c>
      <c r="E39" s="94" t="s">
        <v>112</v>
      </c>
      <c r="F39" s="91">
        <f>ESTIMATOR!$Y39</f>
        <v>0</v>
      </c>
      <c r="G39" s="91">
        <f>ESTIMATOR!$Y39</f>
        <v>0</v>
      </c>
      <c r="H39" s="80"/>
      <c r="I39" s="80"/>
      <c r="J39" s="80"/>
      <c r="K39" s="80"/>
      <c r="L39" s="71"/>
      <c r="M39" s="270">
        <f>ESTIMATOR!$Y39</f>
        <v>0</v>
      </c>
      <c r="N39" s="71"/>
      <c r="O39" s="81"/>
      <c r="P39" s="73"/>
      <c r="Q39" s="74"/>
    </row>
    <row r="40" spans="1:18" x14ac:dyDescent="0.25">
      <c r="A40" s="74"/>
      <c r="B40" s="73"/>
      <c r="C40" s="78"/>
      <c r="D40" s="80">
        <v>2</v>
      </c>
      <c r="E40" s="169" t="s">
        <v>273</v>
      </c>
      <c r="F40" s="91">
        <f>ESTIMATOR!$Y40</f>
        <v>0</v>
      </c>
      <c r="G40" s="91">
        <f>ESTIMATOR!$Y40</f>
        <v>0</v>
      </c>
      <c r="H40" s="80"/>
      <c r="I40" s="80"/>
      <c r="J40" s="80"/>
      <c r="K40" s="80"/>
      <c r="L40" s="71"/>
      <c r="M40" s="270">
        <f>ESTIMATOR!$Y40</f>
        <v>0</v>
      </c>
      <c r="N40" s="71"/>
      <c r="O40" s="81"/>
      <c r="P40" s="73"/>
      <c r="Q40" s="74"/>
    </row>
    <row r="41" spans="1:18" x14ac:dyDescent="0.25">
      <c r="A41" s="74"/>
      <c r="B41" s="73"/>
      <c r="C41" s="78"/>
      <c r="D41" s="80">
        <v>2</v>
      </c>
      <c r="E41" s="96" t="s">
        <v>131</v>
      </c>
      <c r="F41" s="92">
        <f>ESTIMATOR!$Y41</f>
        <v>0</v>
      </c>
      <c r="G41" s="92">
        <f>ESTIMATOR!$Y41</f>
        <v>0</v>
      </c>
      <c r="H41" s="97"/>
      <c r="I41" s="97"/>
      <c r="J41" s="97"/>
      <c r="K41" s="182"/>
      <c r="L41" s="71"/>
      <c r="M41" s="270">
        <f>ESTIMATOR!$Y41</f>
        <v>0</v>
      </c>
      <c r="N41" s="71"/>
      <c r="O41" s="81"/>
      <c r="P41" s="73"/>
      <c r="Q41" s="74"/>
    </row>
    <row r="42" spans="1:18" x14ac:dyDescent="0.25">
      <c r="A42" s="74"/>
      <c r="B42" s="73"/>
      <c r="C42" s="78"/>
      <c r="D42" s="80">
        <v>9</v>
      </c>
      <c r="E42" s="94" t="s">
        <v>148</v>
      </c>
      <c r="F42" s="91">
        <f>ESTIMATOR!$Y42</f>
        <v>0</v>
      </c>
      <c r="G42" s="71"/>
      <c r="H42" s="80"/>
      <c r="I42" s="80"/>
      <c r="J42" s="80"/>
      <c r="K42" s="80"/>
      <c r="L42" s="71"/>
      <c r="M42" s="270">
        <f>ESTIMATOR!$Y42</f>
        <v>0</v>
      </c>
      <c r="N42" s="71"/>
      <c r="O42" s="81"/>
      <c r="P42" s="73"/>
      <c r="Q42" s="74"/>
    </row>
    <row r="43" spans="1:18" x14ac:dyDescent="0.25">
      <c r="A43" s="74"/>
      <c r="B43" s="73"/>
      <c r="C43" s="78"/>
      <c r="D43" s="80">
        <v>8</v>
      </c>
      <c r="E43" s="95" t="s">
        <v>277</v>
      </c>
      <c r="F43" s="91">
        <f>ESTIMATOR!$Y43</f>
        <v>0</v>
      </c>
      <c r="G43" s="71"/>
      <c r="H43" s="80"/>
      <c r="I43" s="80"/>
      <c r="J43" s="80"/>
      <c r="K43" s="80"/>
      <c r="L43" s="71"/>
      <c r="M43" s="270">
        <f>ESTIMATOR!$Y43</f>
        <v>0</v>
      </c>
      <c r="N43" s="71"/>
      <c r="O43" s="81"/>
      <c r="P43" s="73"/>
      <c r="Q43" s="74"/>
    </row>
    <row r="44" spans="1:18" x14ac:dyDescent="0.25">
      <c r="A44" s="74"/>
      <c r="B44" s="73"/>
      <c r="C44" s="78"/>
      <c r="D44" s="80">
        <v>9</v>
      </c>
      <c r="E44" s="94" t="s">
        <v>114</v>
      </c>
      <c r="F44" s="91">
        <f>ESTIMATOR!$Y44</f>
        <v>0</v>
      </c>
      <c r="G44" s="71"/>
      <c r="H44" s="80"/>
      <c r="I44" s="80"/>
      <c r="J44" s="80"/>
      <c r="K44" s="80"/>
      <c r="L44" s="71"/>
      <c r="M44" s="270">
        <f>ESTIMATOR!$Y44</f>
        <v>0</v>
      </c>
      <c r="N44" s="71"/>
      <c r="O44" s="81"/>
      <c r="P44" s="73"/>
      <c r="Q44" s="74"/>
    </row>
    <row r="45" spans="1:18" x14ac:dyDescent="0.25">
      <c r="A45" s="74"/>
      <c r="B45" s="73"/>
      <c r="C45" s="78"/>
      <c r="D45" s="80">
        <v>9</v>
      </c>
      <c r="E45" s="96" t="s">
        <v>276</v>
      </c>
      <c r="F45" s="91">
        <f>ESTIMATOR!$Y45</f>
        <v>0</v>
      </c>
      <c r="G45" s="72"/>
      <c r="H45" s="98"/>
      <c r="I45" s="97"/>
      <c r="J45" s="97"/>
      <c r="K45" s="182"/>
      <c r="L45" s="71"/>
      <c r="M45" s="270">
        <f>ESTIMATOR!$Y45</f>
        <v>0</v>
      </c>
      <c r="N45" s="71"/>
      <c r="O45" s="81"/>
      <c r="P45" s="73"/>
      <c r="Q45" s="74"/>
    </row>
    <row r="46" spans="1:18" x14ac:dyDescent="0.25">
      <c r="A46" s="74"/>
      <c r="B46" s="73"/>
      <c r="C46" s="78"/>
      <c r="D46" s="80"/>
      <c r="E46" s="195" t="s">
        <v>121</v>
      </c>
      <c r="F46" s="151">
        <f>SUM(F32:F45)</f>
        <v>0</v>
      </c>
      <c r="G46" s="151">
        <f>SUM(G32:G45)</f>
        <v>0</v>
      </c>
      <c r="H46" s="80"/>
      <c r="I46" s="80"/>
      <c r="J46" s="80"/>
      <c r="K46" s="80"/>
      <c r="L46" s="151">
        <f>SUM(L32:L45)</f>
        <v>0</v>
      </c>
      <c r="M46" s="151">
        <f>SUM(M32:M45)</f>
        <v>0</v>
      </c>
      <c r="N46" s="151">
        <f>SUM(N32:N45)</f>
        <v>0</v>
      </c>
      <c r="O46" s="81"/>
      <c r="P46" s="73"/>
      <c r="Q46" s="74"/>
    </row>
    <row r="47" spans="1:18" x14ac:dyDescent="0.25">
      <c r="A47" s="74"/>
      <c r="B47" s="73"/>
      <c r="C47" s="78"/>
      <c r="D47" s="80"/>
      <c r="E47" s="83"/>
      <c r="F47" s="80"/>
      <c r="G47" s="80"/>
      <c r="H47" s="80"/>
      <c r="I47" s="80"/>
      <c r="J47" s="80"/>
      <c r="K47" s="80"/>
      <c r="L47" s="148"/>
      <c r="M47" s="148"/>
      <c r="N47" s="148"/>
      <c r="O47" s="81"/>
      <c r="P47" s="73"/>
      <c r="Q47" s="74"/>
    </row>
    <row r="48" spans="1:18" x14ac:dyDescent="0.25">
      <c r="A48" s="74"/>
      <c r="B48" s="73"/>
      <c r="C48" s="78"/>
      <c r="D48" s="99" t="s">
        <v>10</v>
      </c>
      <c r="E48" s="99"/>
      <c r="F48" s="80"/>
      <c r="G48" s="97"/>
      <c r="H48" s="97"/>
      <c r="I48" s="97"/>
      <c r="J48" s="97"/>
      <c r="K48" s="182"/>
      <c r="L48" s="71"/>
      <c r="M48" s="71"/>
      <c r="N48" s="71"/>
      <c r="O48" s="81"/>
      <c r="P48" s="73"/>
      <c r="Q48" s="74"/>
    </row>
    <row r="49" spans="1:17" ht="15.75" thickBot="1" x14ac:dyDescent="0.3">
      <c r="A49" s="74"/>
      <c r="B49" s="73"/>
      <c r="C49" s="78"/>
      <c r="D49" s="80">
        <v>2</v>
      </c>
      <c r="E49" s="95" t="s">
        <v>1</v>
      </c>
      <c r="F49" s="197">
        <f>F31-F46</f>
        <v>0</v>
      </c>
      <c r="G49" s="87"/>
      <c r="H49" s="80"/>
      <c r="I49" s="80"/>
      <c r="J49" s="80"/>
      <c r="K49" s="80"/>
      <c r="L49" s="91">
        <f>ESTIMATOR!$Y49</f>
        <v>0</v>
      </c>
      <c r="M49" s="91">
        <f>ESTIMATOR!$Y49</f>
        <v>0</v>
      </c>
      <c r="N49" s="91">
        <f>ESTIMATOR!$Y49</f>
        <v>0</v>
      </c>
      <c r="O49" s="81"/>
      <c r="P49" s="73"/>
      <c r="Q49" s="74"/>
    </row>
    <row r="50" spans="1:17" ht="15.75" thickTop="1" x14ac:dyDescent="0.25">
      <c r="A50" s="74"/>
      <c r="B50" s="73"/>
      <c r="C50" s="78"/>
      <c r="D50" s="80">
        <v>3</v>
      </c>
      <c r="E50" s="95" t="s">
        <v>2</v>
      </c>
      <c r="F50" s="87" t="str">
        <f>IF(FederalTaxableWage&lt;0,"NEGATIVE FED TAXABLE","")</f>
        <v/>
      </c>
      <c r="G50" s="87"/>
      <c r="H50" s="80"/>
      <c r="I50" s="80"/>
      <c r="J50" s="80"/>
      <c r="K50" s="80"/>
      <c r="L50" s="91">
        <f>ESTIMATOR!$Y50</f>
        <v>0</v>
      </c>
      <c r="M50" s="91">
        <f>ESTIMATOR!$Y50</f>
        <v>0</v>
      </c>
      <c r="N50" s="91">
        <f>ESTIMATOR!$Y50</f>
        <v>0</v>
      </c>
      <c r="O50" s="81"/>
      <c r="P50" s="73"/>
      <c r="Q50" s="74"/>
    </row>
    <row r="51" spans="1:17" ht="15.75" thickBot="1" x14ac:dyDescent="0.3">
      <c r="A51" s="74"/>
      <c r="B51" s="73"/>
      <c r="C51" s="78"/>
      <c r="D51" s="80">
        <v>1</v>
      </c>
      <c r="E51" s="95" t="s">
        <v>3</v>
      </c>
      <c r="F51" s="87"/>
      <c r="G51" s="197">
        <f>G31-G46</f>
        <v>0</v>
      </c>
      <c r="H51" s="80"/>
      <c r="I51" s="80"/>
      <c r="J51" s="80"/>
      <c r="K51" s="80"/>
      <c r="L51" s="91">
        <f>ESTIMATOR!$Y51</f>
        <v>0</v>
      </c>
      <c r="M51" s="91">
        <f>ESTIMATOR!$Y51</f>
        <v>0</v>
      </c>
      <c r="N51" s="91">
        <f>ESTIMATOR!$Y51</f>
        <v>0</v>
      </c>
      <c r="O51" s="81"/>
      <c r="P51" s="73"/>
      <c r="Q51" s="74"/>
    </row>
    <row r="52" spans="1:17" ht="15.75" thickTop="1" x14ac:dyDescent="0.25">
      <c r="A52" s="74"/>
      <c r="B52" s="73"/>
      <c r="C52" s="78"/>
      <c r="D52" s="80">
        <v>1</v>
      </c>
      <c r="E52" s="95" t="s">
        <v>4</v>
      </c>
      <c r="F52" s="163"/>
      <c r="G52" s="80"/>
      <c r="H52" s="80"/>
      <c r="I52" s="80"/>
      <c r="J52" s="80"/>
      <c r="K52" s="80"/>
      <c r="L52" s="91">
        <f>ESTIMATOR!$Y52</f>
        <v>0</v>
      </c>
      <c r="M52" s="91">
        <f>ESTIMATOR!$Y52</f>
        <v>0</v>
      </c>
      <c r="N52" s="91">
        <f>ESTIMATOR!$Y52</f>
        <v>0</v>
      </c>
      <c r="O52" s="81"/>
      <c r="P52" s="73"/>
      <c r="Q52" s="74"/>
    </row>
    <row r="53" spans="1:17" x14ac:dyDescent="0.25">
      <c r="A53" s="74"/>
      <c r="B53" s="73"/>
      <c r="C53" s="78"/>
      <c r="D53" s="80"/>
      <c r="E53" s="95"/>
      <c r="F53" s="97"/>
      <c r="G53" s="97"/>
      <c r="H53" s="97"/>
      <c r="I53" s="97"/>
      <c r="J53" s="97"/>
      <c r="K53" s="182"/>
      <c r="L53" s="91">
        <f>ESTIMATOR!$Y53</f>
        <v>0</v>
      </c>
      <c r="M53" s="91">
        <f>ESTIMATOR!$Y53</f>
        <v>0</v>
      </c>
      <c r="N53" s="91">
        <f>ESTIMATOR!$Y53</f>
        <v>0</v>
      </c>
      <c r="O53" s="81"/>
      <c r="P53" s="73"/>
      <c r="Q53" s="74"/>
    </row>
    <row r="54" spans="1:17" x14ac:dyDescent="0.25">
      <c r="A54" s="74"/>
      <c r="B54" s="73"/>
      <c r="C54" s="78"/>
      <c r="D54" s="80"/>
      <c r="E54" s="194" t="s">
        <v>11</v>
      </c>
      <c r="F54" s="80"/>
      <c r="G54" s="80"/>
      <c r="H54" s="80"/>
      <c r="I54" s="80"/>
      <c r="J54" s="80"/>
      <c r="K54" s="80"/>
      <c r="L54" s="151">
        <f>SUM(L47:L53)</f>
        <v>0</v>
      </c>
      <c r="M54" s="151">
        <f>SUM(M47:M53)</f>
        <v>0</v>
      </c>
      <c r="N54" s="151">
        <f>SUM(N47:N53)</f>
        <v>0</v>
      </c>
      <c r="O54" s="81"/>
      <c r="P54" s="73"/>
      <c r="Q54" s="74"/>
    </row>
    <row r="55" spans="1:17" x14ac:dyDescent="0.25">
      <c r="A55" s="74"/>
      <c r="B55" s="73"/>
      <c r="C55" s="78"/>
      <c r="D55" s="80"/>
      <c r="E55" s="83"/>
      <c r="F55" s="80"/>
      <c r="G55" s="80"/>
      <c r="H55" s="80"/>
      <c r="I55" s="80"/>
      <c r="J55" s="80"/>
      <c r="K55" s="80"/>
      <c r="L55" s="71"/>
      <c r="M55" s="71"/>
      <c r="N55" s="71"/>
      <c r="O55" s="81"/>
      <c r="P55" s="73"/>
      <c r="Q55" s="74"/>
    </row>
    <row r="56" spans="1:17" x14ac:dyDescent="0.25">
      <c r="A56" s="74"/>
      <c r="B56" s="73"/>
      <c r="C56" s="78"/>
      <c r="D56" s="99" t="s">
        <v>119</v>
      </c>
      <c r="E56" s="100"/>
      <c r="F56" s="97"/>
      <c r="G56" s="97"/>
      <c r="H56" s="97"/>
      <c r="I56" s="97"/>
      <c r="J56" s="183"/>
      <c r="K56" s="202"/>
      <c r="L56" s="71"/>
      <c r="M56" s="71"/>
      <c r="N56" s="71"/>
      <c r="O56" s="81"/>
      <c r="P56" s="73"/>
      <c r="Q56" s="74"/>
    </row>
    <row r="57" spans="1:17" x14ac:dyDescent="0.25">
      <c r="A57" s="74"/>
      <c r="B57" s="73"/>
      <c r="C57" s="78"/>
      <c r="D57" s="82"/>
      <c r="E57" s="94"/>
      <c r="F57" s="80"/>
      <c r="G57" s="80"/>
      <c r="H57" s="80"/>
      <c r="I57" s="80"/>
      <c r="J57" s="87"/>
      <c r="K57" s="80"/>
      <c r="L57" s="138"/>
      <c r="M57" s="138"/>
      <c r="N57" s="67"/>
      <c r="O57" s="81"/>
      <c r="P57" s="73"/>
      <c r="Q57" s="74"/>
    </row>
    <row r="58" spans="1:17" x14ac:dyDescent="0.25">
      <c r="A58" s="74"/>
      <c r="B58" s="73"/>
      <c r="C58" s="78"/>
      <c r="D58" s="150">
        <v>5</v>
      </c>
      <c r="E58" s="94" t="s">
        <v>215</v>
      </c>
      <c r="F58" s="80"/>
      <c r="G58" s="80"/>
      <c r="H58" s="80"/>
      <c r="I58" s="80"/>
      <c r="J58" s="87"/>
      <c r="K58" s="80"/>
      <c r="L58" s="138"/>
      <c r="M58" s="138"/>
      <c r="N58" s="67"/>
      <c r="O58" s="81"/>
      <c r="P58" s="73"/>
      <c r="Q58" s="74"/>
    </row>
    <row r="59" spans="1:17" x14ac:dyDescent="0.25">
      <c r="A59" s="74"/>
      <c r="B59" s="73"/>
      <c r="C59" s="78"/>
      <c r="D59" s="150">
        <v>5</v>
      </c>
      <c r="E59" s="94" t="s">
        <v>216</v>
      </c>
      <c r="F59" s="80"/>
      <c r="G59" s="80"/>
      <c r="H59" s="80"/>
      <c r="I59" s="80"/>
      <c r="J59" s="87"/>
      <c r="K59" s="80"/>
      <c r="L59" s="138"/>
      <c r="M59" s="138"/>
      <c r="N59" s="67"/>
      <c r="O59" s="81"/>
      <c r="P59" s="73"/>
      <c r="Q59" s="74"/>
    </row>
    <row r="60" spans="1:17" x14ac:dyDescent="0.25">
      <c r="A60" s="74"/>
      <c r="B60" s="73"/>
      <c r="C60" s="78"/>
      <c r="D60" s="150">
        <v>1</v>
      </c>
      <c r="E60" s="94" t="s">
        <v>254</v>
      </c>
      <c r="F60" s="80"/>
      <c r="G60" s="80"/>
      <c r="H60" s="80"/>
      <c r="I60" s="80"/>
      <c r="J60" s="87"/>
      <c r="K60" s="80"/>
      <c r="L60" s="138"/>
      <c r="M60" s="138"/>
      <c r="N60" s="67"/>
      <c r="O60" s="81"/>
      <c r="P60" s="73"/>
      <c r="Q60" s="74"/>
    </row>
    <row r="61" spans="1:17" x14ac:dyDescent="0.25">
      <c r="A61" s="74"/>
      <c r="B61" s="73"/>
      <c r="C61" s="78"/>
      <c r="D61" s="150">
        <v>2</v>
      </c>
      <c r="E61" s="94" t="s">
        <v>162</v>
      </c>
      <c r="F61" s="80"/>
      <c r="G61" s="80"/>
      <c r="H61" s="80"/>
      <c r="I61" s="80"/>
      <c r="J61" s="87"/>
      <c r="K61" s="80"/>
      <c r="L61" s="138"/>
      <c r="M61" s="138"/>
      <c r="N61" s="67"/>
      <c r="O61" s="81"/>
      <c r="P61" s="73"/>
      <c r="Q61" s="74"/>
    </row>
    <row r="62" spans="1:17" x14ac:dyDescent="0.25">
      <c r="A62" s="74"/>
      <c r="B62" s="73"/>
      <c r="C62" s="78"/>
      <c r="D62" s="150">
        <v>3</v>
      </c>
      <c r="E62" s="94" t="s">
        <v>163</v>
      </c>
      <c r="F62" s="80"/>
      <c r="G62" s="80"/>
      <c r="H62" s="80"/>
      <c r="I62" s="80"/>
      <c r="J62" s="87"/>
      <c r="K62" s="80"/>
      <c r="L62" s="138"/>
      <c r="M62" s="138"/>
      <c r="N62" s="67"/>
      <c r="O62" s="81"/>
      <c r="P62" s="73"/>
      <c r="Q62" s="74"/>
    </row>
    <row r="63" spans="1:17" x14ac:dyDescent="0.25">
      <c r="A63" s="74"/>
      <c r="B63" s="73"/>
      <c r="C63" s="78"/>
      <c r="D63" s="150">
        <v>3</v>
      </c>
      <c r="E63" s="94" t="s">
        <v>207</v>
      </c>
      <c r="F63" s="80"/>
      <c r="G63" s="80"/>
      <c r="H63" s="80"/>
      <c r="I63" s="80"/>
      <c r="J63" s="87"/>
      <c r="K63" s="80"/>
      <c r="L63" s="138"/>
      <c r="M63" s="138"/>
      <c r="N63" s="67"/>
      <c r="O63" s="81"/>
      <c r="P63" s="73"/>
      <c r="Q63" s="74"/>
    </row>
    <row r="64" spans="1:17" x14ac:dyDescent="0.25">
      <c r="A64" s="74"/>
      <c r="B64" s="73"/>
      <c r="C64" s="78"/>
      <c r="D64" s="150">
        <v>4</v>
      </c>
      <c r="E64" s="94" t="s">
        <v>203</v>
      </c>
      <c r="F64" s="80"/>
      <c r="G64" s="80"/>
      <c r="H64" s="80"/>
      <c r="I64" s="80"/>
      <c r="J64" s="87"/>
      <c r="K64" s="80"/>
      <c r="L64" s="138"/>
      <c r="M64" s="138"/>
      <c r="N64" s="67"/>
      <c r="O64" s="81"/>
      <c r="P64" s="73"/>
      <c r="Q64" s="74"/>
    </row>
    <row r="65" spans="1:17" x14ac:dyDescent="0.25">
      <c r="A65" s="74"/>
      <c r="B65" s="73"/>
      <c r="C65" s="78"/>
      <c r="D65" s="150">
        <v>5</v>
      </c>
      <c r="E65" s="94" t="s">
        <v>204</v>
      </c>
      <c r="F65" s="80"/>
      <c r="G65" s="80"/>
      <c r="H65" s="80"/>
      <c r="I65" s="80"/>
      <c r="J65" s="87"/>
      <c r="K65" s="80"/>
      <c r="L65" s="138"/>
      <c r="M65" s="138"/>
      <c r="N65" s="67"/>
      <c r="O65" s="81"/>
      <c r="P65" s="73"/>
      <c r="Q65" s="74"/>
    </row>
    <row r="66" spans="1:17" x14ac:dyDescent="0.25">
      <c r="A66" s="74"/>
      <c r="B66" s="73"/>
      <c r="C66" s="78"/>
      <c r="D66" s="150">
        <v>5</v>
      </c>
      <c r="E66" s="94" t="s">
        <v>208</v>
      </c>
      <c r="F66" s="80"/>
      <c r="G66" s="80"/>
      <c r="H66" s="80"/>
      <c r="I66" s="80"/>
      <c r="J66" s="87"/>
      <c r="K66" s="80"/>
      <c r="L66" s="138"/>
      <c r="M66" s="138"/>
      <c r="N66" s="67"/>
      <c r="O66" s="81"/>
      <c r="P66" s="73"/>
      <c r="Q66" s="74"/>
    </row>
    <row r="67" spans="1:17" x14ac:dyDescent="0.25">
      <c r="A67" s="74"/>
      <c r="B67" s="73"/>
      <c r="C67" s="78"/>
      <c r="D67" s="82"/>
      <c r="E67" s="94"/>
      <c r="F67" s="80"/>
      <c r="G67" s="80"/>
      <c r="H67" s="80"/>
      <c r="I67" s="80"/>
      <c r="J67" s="87"/>
      <c r="K67" s="80"/>
      <c r="L67" s="138"/>
      <c r="M67" s="138"/>
      <c r="N67" s="67"/>
      <c r="O67" s="81"/>
      <c r="P67" s="73"/>
      <c r="Q67" s="74"/>
    </row>
    <row r="68" spans="1:17" x14ac:dyDescent="0.25">
      <c r="A68" s="74"/>
      <c r="B68" s="73"/>
      <c r="C68" s="78"/>
      <c r="D68" s="150">
        <v>6</v>
      </c>
      <c r="E68" s="94" t="s">
        <v>209</v>
      </c>
      <c r="F68" s="80"/>
      <c r="G68" s="80"/>
      <c r="H68" s="87"/>
      <c r="I68" s="80"/>
      <c r="J68" s="87"/>
      <c r="K68" s="80"/>
      <c r="L68" s="67"/>
      <c r="M68" s="71"/>
      <c r="N68" s="67"/>
      <c r="O68" s="81"/>
      <c r="P68" s="73"/>
      <c r="Q68" s="74"/>
    </row>
    <row r="69" spans="1:17" x14ac:dyDescent="0.25">
      <c r="A69" s="74"/>
      <c r="B69" s="73"/>
      <c r="C69" s="78"/>
      <c r="D69" s="150">
        <v>7</v>
      </c>
      <c r="E69" s="94" t="s">
        <v>210</v>
      </c>
      <c r="F69" s="80"/>
      <c r="G69" s="80"/>
      <c r="H69" s="87"/>
      <c r="I69" s="80"/>
      <c r="J69" s="87"/>
      <c r="K69" s="80"/>
      <c r="L69" s="67"/>
      <c r="M69" s="71"/>
      <c r="N69" s="67"/>
      <c r="O69" s="81"/>
      <c r="P69" s="73"/>
      <c r="Q69" s="74"/>
    </row>
    <row r="70" spans="1:17" x14ac:dyDescent="0.25">
      <c r="A70" s="74"/>
      <c r="B70" s="73"/>
      <c r="C70" s="78"/>
      <c r="D70" s="150">
        <v>8</v>
      </c>
      <c r="E70" s="94" t="s">
        <v>211</v>
      </c>
      <c r="F70" s="80"/>
      <c r="G70" s="80"/>
      <c r="H70" s="87"/>
      <c r="I70" s="80"/>
      <c r="J70" s="87"/>
      <c r="K70" s="80"/>
      <c r="L70" s="67"/>
      <c r="M70" s="71"/>
      <c r="N70" s="67"/>
      <c r="O70" s="81"/>
      <c r="P70" s="73"/>
      <c r="Q70" s="74"/>
    </row>
    <row r="71" spans="1:17" x14ac:dyDescent="0.25">
      <c r="A71" s="74"/>
      <c r="B71" s="73"/>
      <c r="C71" s="78"/>
      <c r="D71" s="150"/>
      <c r="E71" s="96"/>
      <c r="F71" s="97"/>
      <c r="G71" s="97"/>
      <c r="H71" s="97"/>
      <c r="I71" s="97"/>
      <c r="J71" s="97"/>
      <c r="K71" s="182"/>
      <c r="L71" s="67"/>
      <c r="M71" s="67"/>
      <c r="N71" s="67"/>
      <c r="O71" s="81"/>
      <c r="P71" s="73"/>
      <c r="Q71" s="74"/>
    </row>
    <row r="72" spans="1:17" x14ac:dyDescent="0.25">
      <c r="A72" s="74"/>
      <c r="B72" s="73"/>
      <c r="C72" s="78"/>
      <c r="D72" s="150">
        <v>9</v>
      </c>
      <c r="E72" s="94" t="s">
        <v>234</v>
      </c>
      <c r="F72" s="80"/>
      <c r="G72" s="80"/>
      <c r="H72" s="80"/>
      <c r="I72" s="80"/>
      <c r="J72" s="80"/>
      <c r="K72" s="80"/>
      <c r="L72" s="67"/>
      <c r="M72" s="67"/>
      <c r="N72" s="67"/>
      <c r="O72" s="81"/>
      <c r="P72" s="73"/>
      <c r="Q72" s="74"/>
    </row>
    <row r="73" spans="1:17" x14ac:dyDescent="0.25">
      <c r="A73" s="74"/>
      <c r="B73" s="73"/>
      <c r="C73" s="78"/>
      <c r="D73" s="150">
        <v>9</v>
      </c>
      <c r="E73" s="94" t="s">
        <v>229</v>
      </c>
      <c r="F73" s="155"/>
      <c r="G73" s="87"/>
      <c r="H73" s="80"/>
      <c r="I73" s="80"/>
      <c r="J73" s="80"/>
      <c r="K73" s="80"/>
      <c r="L73" s="67"/>
      <c r="M73" s="67"/>
      <c r="N73" s="67"/>
      <c r="O73" s="81"/>
      <c r="P73" s="73"/>
      <c r="Q73" s="74"/>
    </row>
    <row r="74" spans="1:17" x14ac:dyDescent="0.25">
      <c r="A74" s="74"/>
      <c r="B74" s="73"/>
      <c r="C74" s="78"/>
      <c r="D74" s="150">
        <v>9</v>
      </c>
      <c r="E74" s="94" t="s">
        <v>230</v>
      </c>
      <c r="F74" s="87"/>
      <c r="G74" s="80"/>
      <c r="H74" s="80"/>
      <c r="I74" s="80"/>
      <c r="J74" s="80"/>
      <c r="K74" s="80"/>
      <c r="L74" s="67"/>
      <c r="M74" s="67"/>
      <c r="N74" s="67"/>
      <c r="O74" s="81"/>
      <c r="P74" s="73"/>
      <c r="Q74" s="74"/>
    </row>
    <row r="75" spans="1:17" x14ac:dyDescent="0.25">
      <c r="A75" s="74"/>
      <c r="B75" s="73"/>
      <c r="C75" s="78"/>
      <c r="D75" s="150">
        <v>9</v>
      </c>
      <c r="E75" s="94" t="s">
        <v>231</v>
      </c>
      <c r="F75" s="87"/>
      <c r="G75" s="80"/>
      <c r="H75" s="80"/>
      <c r="I75" s="80"/>
      <c r="J75" s="80"/>
      <c r="K75" s="80"/>
      <c r="L75" s="67"/>
      <c r="M75" s="67"/>
      <c r="N75" s="67"/>
      <c r="O75" s="81"/>
      <c r="P75" s="73"/>
      <c r="Q75" s="74"/>
    </row>
    <row r="76" spans="1:17" x14ac:dyDescent="0.25">
      <c r="A76" s="74"/>
      <c r="B76" s="73"/>
      <c r="C76" s="78"/>
      <c r="D76" s="150">
        <v>9</v>
      </c>
      <c r="E76" s="94" t="s">
        <v>232</v>
      </c>
      <c r="F76" s="80"/>
      <c r="G76" s="80"/>
      <c r="H76" s="80"/>
      <c r="I76" s="80"/>
      <c r="J76" s="80"/>
      <c r="K76" s="80"/>
      <c r="L76" s="67"/>
      <c r="M76" s="67"/>
      <c r="N76" s="67"/>
      <c r="O76" s="81"/>
      <c r="P76" s="73"/>
      <c r="Q76" s="74"/>
    </row>
    <row r="77" spans="1:17" x14ac:dyDescent="0.25">
      <c r="A77" s="74"/>
      <c r="B77" s="73"/>
      <c r="C77" s="78"/>
      <c r="D77" s="150">
        <v>9</v>
      </c>
      <c r="E77" s="96" t="s">
        <v>233</v>
      </c>
      <c r="F77" s="97"/>
      <c r="G77" s="97"/>
      <c r="H77" s="97"/>
      <c r="I77" s="97"/>
      <c r="J77" s="97"/>
      <c r="K77" s="182"/>
      <c r="L77" s="67"/>
      <c r="M77" s="67"/>
      <c r="N77" s="67"/>
      <c r="O77" s="81"/>
      <c r="P77" s="73"/>
      <c r="Q77" s="74"/>
    </row>
    <row r="78" spans="1:17" x14ac:dyDescent="0.25">
      <c r="A78" s="74"/>
      <c r="B78" s="73"/>
      <c r="C78" s="78"/>
      <c r="D78" s="83">
        <v>2</v>
      </c>
      <c r="E78" s="94" t="s">
        <v>474</v>
      </c>
      <c r="F78" s="80"/>
      <c r="G78" s="80"/>
      <c r="H78" s="80"/>
      <c r="I78" s="80"/>
      <c r="J78" s="80"/>
      <c r="K78" s="80"/>
      <c r="L78" s="91">
        <f>ESTIMATOR!$Y78</f>
        <v>0</v>
      </c>
      <c r="M78" s="270">
        <f>ESTIMATOR!$Y78</f>
        <v>0</v>
      </c>
      <c r="N78" s="91">
        <f>ESTIMATOR!$Y78</f>
        <v>0</v>
      </c>
      <c r="O78" s="81"/>
      <c r="P78" s="73"/>
      <c r="Q78" s="74"/>
    </row>
    <row r="79" spans="1:17" x14ac:dyDescent="0.25">
      <c r="A79" s="74"/>
      <c r="B79" s="73"/>
      <c r="C79" s="78"/>
      <c r="D79" s="83">
        <v>2</v>
      </c>
      <c r="E79" s="94" t="s">
        <v>113</v>
      </c>
      <c r="F79" s="80"/>
      <c r="G79" s="80"/>
      <c r="H79" s="80"/>
      <c r="I79" s="80"/>
      <c r="J79" s="80"/>
      <c r="K79" s="80"/>
      <c r="L79" s="138"/>
      <c r="M79" s="270">
        <f>ESTIMATOR!$Y79</f>
        <v>0</v>
      </c>
      <c r="N79" s="67"/>
      <c r="O79" s="81"/>
      <c r="P79" s="73"/>
      <c r="Q79" s="74"/>
    </row>
    <row r="80" spans="1:17" x14ac:dyDescent="0.25">
      <c r="A80" s="74"/>
      <c r="B80" s="73"/>
      <c r="C80" s="78"/>
      <c r="D80" s="83">
        <v>2</v>
      </c>
      <c r="E80" s="94" t="s">
        <v>132</v>
      </c>
      <c r="F80" s="80"/>
      <c r="G80" s="80"/>
      <c r="H80" s="80"/>
      <c r="I80" s="80"/>
      <c r="J80" s="80"/>
      <c r="K80" s="80"/>
      <c r="L80" s="138"/>
      <c r="M80" s="270">
        <f>ESTIMATOR!$Y80</f>
        <v>0</v>
      </c>
      <c r="N80" s="67"/>
      <c r="O80" s="81"/>
      <c r="P80" s="73"/>
      <c r="Q80" s="74"/>
    </row>
    <row r="81" spans="1:17" x14ac:dyDescent="0.25">
      <c r="A81" s="74"/>
      <c r="B81" s="73"/>
      <c r="C81" s="78"/>
      <c r="D81" s="83">
        <v>2</v>
      </c>
      <c r="E81" s="94" t="s">
        <v>115</v>
      </c>
      <c r="F81" s="80"/>
      <c r="G81" s="80"/>
      <c r="H81" s="80"/>
      <c r="I81" s="80"/>
      <c r="J81" s="80"/>
      <c r="K81" s="80"/>
      <c r="L81" s="138"/>
      <c r="M81" s="270">
        <f>ESTIMATOR!$Y81</f>
        <v>0</v>
      </c>
      <c r="N81" s="67"/>
      <c r="O81" s="81"/>
      <c r="P81" s="73"/>
      <c r="Q81" s="74"/>
    </row>
    <row r="82" spans="1:17" x14ac:dyDescent="0.25">
      <c r="A82" s="74"/>
      <c r="B82" s="73"/>
      <c r="C82" s="78"/>
      <c r="D82" s="83">
        <v>8</v>
      </c>
      <c r="E82" s="94" t="s">
        <v>265</v>
      </c>
      <c r="F82" s="80"/>
      <c r="G82" s="80"/>
      <c r="H82" s="80"/>
      <c r="I82" s="80"/>
      <c r="J82" s="80"/>
      <c r="K82" s="80"/>
      <c r="L82" s="138"/>
      <c r="M82" s="270"/>
      <c r="N82" s="67"/>
      <c r="O82" s="81"/>
      <c r="P82" s="73"/>
      <c r="Q82" s="74"/>
    </row>
    <row r="83" spans="1:17" x14ac:dyDescent="0.25">
      <c r="A83" s="74"/>
      <c r="B83" s="73"/>
      <c r="C83" s="78"/>
      <c r="D83" s="80">
        <v>9</v>
      </c>
      <c r="E83" s="94" t="s">
        <v>116</v>
      </c>
      <c r="F83" s="87"/>
      <c r="G83" s="80"/>
      <c r="H83" s="80"/>
      <c r="I83" s="80"/>
      <c r="J83" s="80"/>
      <c r="K83" s="80"/>
      <c r="L83" s="67"/>
      <c r="M83" s="270">
        <f>ESTIMATOR!$Y83</f>
        <v>0</v>
      </c>
      <c r="N83" s="67"/>
      <c r="O83" s="81"/>
      <c r="P83" s="73"/>
      <c r="Q83" s="74"/>
    </row>
    <row r="84" spans="1:17" x14ac:dyDescent="0.25">
      <c r="A84" s="74"/>
      <c r="B84" s="73"/>
      <c r="C84" s="78"/>
      <c r="D84" s="83">
        <v>9</v>
      </c>
      <c r="E84" s="94" t="s">
        <v>117</v>
      </c>
      <c r="F84" s="87"/>
      <c r="G84" s="80"/>
      <c r="H84" s="80"/>
      <c r="I84" s="80"/>
      <c r="J84" s="80"/>
      <c r="K84" s="80"/>
      <c r="L84" s="67"/>
      <c r="M84" s="270">
        <f>ESTIMATOR!$Y84</f>
        <v>0</v>
      </c>
      <c r="N84" s="67"/>
      <c r="O84" s="81"/>
      <c r="P84" s="73"/>
      <c r="Q84" s="74"/>
    </row>
    <row r="85" spans="1:17" x14ac:dyDescent="0.25">
      <c r="A85" s="74"/>
      <c r="B85" s="73"/>
      <c r="C85" s="78"/>
      <c r="D85" s="83">
        <v>9</v>
      </c>
      <c r="E85" s="220" t="s">
        <v>275</v>
      </c>
      <c r="F85" s="183"/>
      <c r="G85" s="97"/>
      <c r="H85" s="97"/>
      <c r="I85" s="97"/>
      <c r="J85" s="97"/>
      <c r="K85" s="182"/>
      <c r="L85" s="141"/>
      <c r="M85" s="270">
        <f>ESTIMATOR!$Y85</f>
        <v>0</v>
      </c>
      <c r="N85" s="67"/>
      <c r="O85" s="81"/>
      <c r="P85" s="73"/>
      <c r="Q85" s="74"/>
    </row>
    <row r="86" spans="1:17" x14ac:dyDescent="0.25">
      <c r="A86" s="74"/>
      <c r="B86" s="73"/>
      <c r="C86" s="78"/>
      <c r="D86" s="80"/>
      <c r="E86" s="196" t="s">
        <v>120</v>
      </c>
      <c r="F86" s="80"/>
      <c r="G86" s="80"/>
      <c r="H86" s="80"/>
      <c r="I86" s="80"/>
      <c r="J86" s="80"/>
      <c r="K86" s="80"/>
      <c r="L86" s="151">
        <f>SUM(L55:L85)</f>
        <v>0</v>
      </c>
      <c r="M86" s="151">
        <f>SUM(M55:M85)</f>
        <v>0</v>
      </c>
      <c r="N86" s="151">
        <f>SUM(N55:N85)</f>
        <v>0</v>
      </c>
      <c r="O86" s="81"/>
      <c r="P86" s="73"/>
      <c r="Q86" s="74"/>
    </row>
    <row r="87" spans="1:17" x14ac:dyDescent="0.25">
      <c r="A87" s="74"/>
      <c r="B87" s="73"/>
      <c r="C87" s="78"/>
      <c r="D87" s="80"/>
      <c r="E87" s="80"/>
      <c r="F87" s="80"/>
      <c r="G87" s="80"/>
      <c r="H87" s="80"/>
      <c r="I87" s="80"/>
      <c r="J87" s="80"/>
      <c r="K87" s="115"/>
      <c r="L87" s="115"/>
      <c r="M87" s="115"/>
      <c r="N87" s="115"/>
      <c r="O87" s="81"/>
      <c r="P87" s="73"/>
      <c r="Q87" s="74"/>
    </row>
    <row r="88" spans="1:17" ht="15.75" thickBot="1" x14ac:dyDescent="0.3">
      <c r="A88" s="74"/>
      <c r="B88" s="73"/>
      <c r="C88" s="78"/>
      <c r="D88" s="82"/>
      <c r="E88" s="80"/>
      <c r="F88" s="80"/>
      <c r="G88" s="80"/>
      <c r="H88" s="80"/>
      <c r="I88" s="80"/>
      <c r="J88" s="80"/>
      <c r="K88" s="102" t="s">
        <v>170</v>
      </c>
      <c r="L88" s="197">
        <f>L31-L46-L54-L86</f>
        <v>0</v>
      </c>
      <c r="M88" s="197">
        <f>M31-M46-M54-M86</f>
        <v>0</v>
      </c>
      <c r="N88" s="197">
        <f>N31-N46-N54-N86</f>
        <v>0</v>
      </c>
      <c r="O88" s="81"/>
      <c r="P88" s="73"/>
      <c r="Q88" s="74"/>
    </row>
    <row r="89" spans="1:17" ht="16.5" thickTop="1" thickBot="1" x14ac:dyDescent="0.3">
      <c r="A89" s="74"/>
      <c r="B89" s="73"/>
      <c r="C89" s="84"/>
      <c r="D89" s="85"/>
      <c r="E89" s="85"/>
      <c r="F89" s="85"/>
      <c r="G89" s="85"/>
      <c r="H89" s="85"/>
      <c r="I89" s="85"/>
      <c r="J89" s="85"/>
      <c r="K89" s="85"/>
      <c r="L89" s="85"/>
      <c r="M89" s="85"/>
      <c r="N89" s="85"/>
      <c r="O89" s="86"/>
      <c r="P89" s="73"/>
      <c r="Q89" s="74"/>
    </row>
    <row r="90" spans="1:17" ht="5.0999999999999996" customHeight="1" x14ac:dyDescent="0.25">
      <c r="A90" s="74"/>
      <c r="B90" s="73"/>
      <c r="C90" s="73"/>
      <c r="D90" s="73"/>
      <c r="E90" s="73"/>
      <c r="F90" s="73"/>
      <c r="G90" s="73"/>
      <c r="H90" s="73"/>
      <c r="I90" s="73"/>
      <c r="J90" s="73"/>
      <c r="K90" s="73"/>
      <c r="L90" s="73"/>
      <c r="M90" s="73"/>
      <c r="N90" s="73"/>
      <c r="O90" s="73"/>
      <c r="P90" s="73"/>
      <c r="Q90" s="74"/>
    </row>
    <row r="91" spans="1:17" x14ac:dyDescent="0.25">
      <c r="A91" s="74"/>
      <c r="B91" s="74"/>
      <c r="C91" s="74"/>
      <c r="D91" s="74"/>
      <c r="E91" s="74"/>
      <c r="F91" s="74"/>
      <c r="G91" s="74"/>
      <c r="H91" s="74"/>
      <c r="I91" s="74"/>
      <c r="J91" s="74"/>
      <c r="K91" s="74"/>
      <c r="L91" s="74"/>
      <c r="M91" s="74"/>
      <c r="N91" s="74"/>
      <c r="O91" s="74"/>
      <c r="P91" s="74"/>
      <c r="Q91" s="74"/>
    </row>
  </sheetData>
  <sheetProtection algorithmName="SHA-512" hashValue="YhEP1LptVyhK7+bl7jBoijvKrgREyF8hqzwD2T2PcNUU97EMSq05j0luFklAqCRbkuuJNmCR0r329rmTFcshsA==" saltValue="blTV2964UEebG2G7QRGZ3w==" spinCount="100000" sheet="1" objects="1" scenarios="1"/>
  <mergeCells count="10">
    <mergeCell ref="D5:E6"/>
    <mergeCell ref="L5:L7"/>
    <mergeCell ref="M5:M7"/>
    <mergeCell ref="N5:N7"/>
    <mergeCell ref="F5:F7"/>
    <mergeCell ref="G5:G7"/>
    <mergeCell ref="H5:H7"/>
    <mergeCell ref="I5:I7"/>
    <mergeCell ref="J5:J7"/>
    <mergeCell ref="K5:K7"/>
  </mergeCells>
  <conditionalFormatting sqref="F50">
    <cfRule type="expression" dxfId="1" priority="2">
      <formula>$F$49&lt;0</formula>
    </cfRule>
  </conditionalFormatting>
  <conditionalFormatting sqref="G50">
    <cfRule type="expression" dxfId="0" priority="1">
      <formula>$F$49&lt;0</formula>
    </cfRule>
  </conditionalFormatting>
  <pageMargins left="0.25" right="0.25" top="0.3" bottom="0.3" header="0.3" footer="0.25"/>
  <pageSetup scale="49" orientation="portrait" r:id="rId1"/>
  <headerFooter>
    <oddFooter>&amp;L&amp;10&amp;Z&amp;F&amp;R&amp;10Prepared &amp;D  &amp;T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outlinePr summaryBelow="0"/>
    <pageSetUpPr fitToPage="1"/>
  </sheetPr>
  <dimension ref="A1:AA72"/>
  <sheetViews>
    <sheetView topLeftCell="A22" workbookViewId="0">
      <selection activeCell="E28" sqref="E28"/>
    </sheetView>
  </sheetViews>
  <sheetFormatPr defaultRowHeight="15" outlineLevelCol="1" x14ac:dyDescent="0.25"/>
  <cols>
    <col min="1" max="1" width="1.7109375" customWidth="1"/>
    <col min="2" max="2" width="0.85546875" customWidth="1"/>
    <col min="3" max="3" width="4.28515625" customWidth="1"/>
    <col min="4" max="4" width="4.7109375" customWidth="1"/>
    <col min="5" max="5" width="39.5703125" customWidth="1"/>
    <col min="6" max="14" width="8.7109375" style="230" customWidth="1" outlineLevel="1"/>
    <col min="15" max="15" width="4.28515625" customWidth="1"/>
    <col min="16" max="16" width="0.85546875" customWidth="1"/>
    <col min="17" max="17" width="1.7109375" customWidth="1"/>
  </cols>
  <sheetData>
    <row r="1" spans="1:27" x14ac:dyDescent="0.25">
      <c r="A1" s="74"/>
      <c r="B1" s="74"/>
      <c r="C1" s="74"/>
      <c r="D1" s="74"/>
      <c r="E1" s="74"/>
      <c r="F1" s="226"/>
      <c r="G1" s="226"/>
      <c r="H1" s="226"/>
      <c r="I1" s="226"/>
      <c r="J1" s="226"/>
      <c r="K1" s="226"/>
      <c r="L1" s="226"/>
      <c r="M1" s="226"/>
      <c r="N1" s="226"/>
      <c r="O1" s="74"/>
      <c r="P1" s="74"/>
      <c r="Q1" s="74"/>
      <c r="R1" s="74"/>
      <c r="S1" s="74"/>
      <c r="T1" s="74"/>
      <c r="U1" s="74"/>
      <c r="V1" s="74"/>
      <c r="W1" s="74"/>
      <c r="X1" s="74"/>
      <c r="Y1" s="74"/>
      <c r="Z1" s="74"/>
      <c r="AA1" s="74"/>
    </row>
    <row r="2" spans="1:27" ht="5.0999999999999996" customHeight="1" x14ac:dyDescent="0.25">
      <c r="A2" s="74"/>
      <c r="B2" s="73"/>
      <c r="C2" s="73"/>
      <c r="D2" s="73"/>
      <c r="E2" s="73"/>
      <c r="F2" s="227"/>
      <c r="G2" s="227"/>
      <c r="H2" s="227"/>
      <c r="I2" s="227"/>
      <c r="J2" s="227"/>
      <c r="K2" s="227"/>
      <c r="L2" s="227"/>
      <c r="M2" s="227"/>
      <c r="N2" s="227"/>
      <c r="O2" s="73"/>
      <c r="P2" s="73"/>
      <c r="Q2" s="74"/>
      <c r="R2" s="74"/>
      <c r="S2" s="74"/>
      <c r="T2" s="74"/>
      <c r="U2" s="74"/>
      <c r="V2" s="74"/>
      <c r="W2" s="74"/>
      <c r="X2" s="74"/>
      <c r="Y2" s="74"/>
      <c r="Z2" s="74"/>
      <c r="AA2" s="74"/>
    </row>
    <row r="3" spans="1:27" ht="36.75" customHeight="1" x14ac:dyDescent="0.25">
      <c r="A3" s="74"/>
      <c r="B3" s="73"/>
      <c r="C3" s="78"/>
      <c r="D3" s="97" t="s">
        <v>279</v>
      </c>
      <c r="E3" s="97"/>
      <c r="F3" s="228">
        <v>1</v>
      </c>
      <c r="G3" s="228">
        <v>2</v>
      </c>
      <c r="H3" s="228">
        <v>3</v>
      </c>
      <c r="I3" s="228">
        <v>4</v>
      </c>
      <c r="J3" s="228">
        <v>5</v>
      </c>
      <c r="K3" s="228">
        <v>6</v>
      </c>
      <c r="L3" s="228">
        <v>7</v>
      </c>
      <c r="M3" s="228">
        <v>8</v>
      </c>
      <c r="N3" s="228">
        <v>9</v>
      </c>
      <c r="O3" s="81"/>
      <c r="P3" s="73"/>
      <c r="Q3" s="74"/>
      <c r="R3" s="74"/>
      <c r="S3" s="74"/>
      <c r="T3" s="74"/>
      <c r="U3" s="74"/>
      <c r="V3" s="74"/>
      <c r="W3" s="74"/>
      <c r="X3" s="74"/>
      <c r="Y3" s="74"/>
      <c r="Z3" s="74"/>
      <c r="AA3" s="74"/>
    </row>
    <row r="4" spans="1:27" ht="20.100000000000001" customHeight="1" x14ac:dyDescent="0.25">
      <c r="A4" s="74"/>
      <c r="B4" s="73"/>
      <c r="C4" s="78"/>
      <c r="D4" s="80"/>
      <c r="E4" s="95" t="s">
        <v>3</v>
      </c>
      <c r="F4" s="239" t="s">
        <v>280</v>
      </c>
      <c r="G4" s="239" t="s">
        <v>280</v>
      </c>
      <c r="H4" s="239" t="s">
        <v>280</v>
      </c>
      <c r="I4" s="240" t="s">
        <v>281</v>
      </c>
      <c r="J4" s="239" t="s">
        <v>280</v>
      </c>
      <c r="K4" s="240" t="s">
        <v>281</v>
      </c>
      <c r="L4" s="240" t="s">
        <v>281</v>
      </c>
      <c r="M4" s="239" t="s">
        <v>280</v>
      </c>
      <c r="N4" s="239" t="s">
        <v>282</v>
      </c>
      <c r="O4" s="81"/>
      <c r="P4" s="73"/>
      <c r="Q4" s="74"/>
      <c r="R4" s="74"/>
      <c r="S4" s="74"/>
      <c r="T4" s="74"/>
      <c r="U4" s="74"/>
      <c r="V4" s="74"/>
      <c r="W4" s="74"/>
      <c r="X4" s="74"/>
      <c r="Y4" s="74"/>
      <c r="Z4" s="74"/>
      <c r="AA4" s="74"/>
    </row>
    <row r="5" spans="1:27" ht="20.100000000000001" customHeight="1" x14ac:dyDescent="0.25">
      <c r="A5" s="74"/>
      <c r="B5" s="73"/>
      <c r="C5" s="78"/>
      <c r="D5" s="80"/>
      <c r="E5" s="95" t="s">
        <v>4</v>
      </c>
      <c r="F5" s="239" t="s">
        <v>280</v>
      </c>
      <c r="G5" s="239" t="s">
        <v>280</v>
      </c>
      <c r="H5" s="239" t="s">
        <v>280</v>
      </c>
      <c r="I5" s="240" t="s">
        <v>281</v>
      </c>
      <c r="J5" s="239" t="s">
        <v>280</v>
      </c>
      <c r="K5" s="240" t="s">
        <v>281</v>
      </c>
      <c r="L5" s="240" t="s">
        <v>281</v>
      </c>
      <c r="M5" s="239" t="s">
        <v>280</v>
      </c>
      <c r="N5" s="239" t="s">
        <v>282</v>
      </c>
      <c r="O5" s="81"/>
      <c r="P5" s="73"/>
      <c r="Q5" s="74"/>
      <c r="R5" s="74"/>
      <c r="S5" s="74"/>
      <c r="T5" s="74"/>
      <c r="U5" s="74"/>
      <c r="V5" s="74"/>
      <c r="W5" s="74"/>
      <c r="X5" s="74"/>
      <c r="Y5" s="74"/>
      <c r="Z5" s="74"/>
      <c r="AA5" s="74"/>
    </row>
    <row r="6" spans="1:27" ht="20.100000000000001" customHeight="1" x14ac:dyDescent="0.25">
      <c r="A6" s="74"/>
      <c r="B6" s="73"/>
      <c r="C6" s="78"/>
      <c r="D6" s="80"/>
      <c r="E6" s="95" t="s">
        <v>1</v>
      </c>
      <c r="F6" s="239" t="s">
        <v>280</v>
      </c>
      <c r="G6" s="239" t="s">
        <v>280</v>
      </c>
      <c r="H6" s="239" t="s">
        <v>280</v>
      </c>
      <c r="I6" s="240" t="s">
        <v>281</v>
      </c>
      <c r="J6" s="239" t="s">
        <v>280</v>
      </c>
      <c r="K6" s="240" t="s">
        <v>281</v>
      </c>
      <c r="L6" s="240" t="s">
        <v>281</v>
      </c>
      <c r="M6" s="239" t="s">
        <v>280</v>
      </c>
      <c r="N6" s="239" t="s">
        <v>282</v>
      </c>
      <c r="O6" s="81"/>
      <c r="P6" s="73"/>
      <c r="Q6" s="74"/>
      <c r="R6" s="74"/>
      <c r="S6" s="74"/>
      <c r="T6" s="74"/>
      <c r="U6" s="74"/>
      <c r="V6" s="74"/>
      <c r="W6" s="74"/>
      <c r="X6" s="74"/>
      <c r="Y6" s="74"/>
      <c r="Z6" s="74"/>
      <c r="AA6" s="74"/>
    </row>
    <row r="7" spans="1:27" ht="20.100000000000001" customHeight="1" x14ac:dyDescent="0.25">
      <c r="A7" s="74"/>
      <c r="B7" s="73"/>
      <c r="C7" s="78"/>
      <c r="D7" s="80"/>
      <c r="E7" s="95" t="s">
        <v>2</v>
      </c>
      <c r="F7" s="239" t="s">
        <v>280</v>
      </c>
      <c r="G7" s="239" t="s">
        <v>280</v>
      </c>
      <c r="H7" s="239" t="s">
        <v>280</v>
      </c>
      <c r="I7" s="240" t="s">
        <v>281</v>
      </c>
      <c r="J7" s="239" t="s">
        <v>280</v>
      </c>
      <c r="K7" s="240" t="s">
        <v>281</v>
      </c>
      <c r="L7" s="240" t="s">
        <v>281</v>
      </c>
      <c r="M7" s="239" t="s">
        <v>280</v>
      </c>
      <c r="N7" s="239" t="s">
        <v>282</v>
      </c>
      <c r="O7" s="81"/>
      <c r="P7" s="73"/>
      <c r="Q7" s="74"/>
      <c r="R7" s="74"/>
      <c r="S7" s="74"/>
      <c r="T7" s="74"/>
      <c r="U7" s="74"/>
      <c r="V7" s="74"/>
      <c r="W7" s="74"/>
      <c r="X7" s="74"/>
      <c r="Y7" s="74"/>
      <c r="Z7" s="74"/>
      <c r="AA7" s="74"/>
    </row>
    <row r="8" spans="1:27" ht="20.100000000000001" customHeight="1" x14ac:dyDescent="0.25">
      <c r="A8" s="74"/>
      <c r="B8" s="73"/>
      <c r="C8" s="78"/>
      <c r="D8" s="80"/>
      <c r="E8" s="95" t="s">
        <v>254</v>
      </c>
      <c r="F8" s="239" t="s">
        <v>280</v>
      </c>
      <c r="G8" s="239" t="s">
        <v>280</v>
      </c>
      <c r="H8" s="239" t="s">
        <v>280</v>
      </c>
      <c r="I8" s="240" t="s">
        <v>281</v>
      </c>
      <c r="J8" s="316"/>
      <c r="K8" s="240" t="s">
        <v>281</v>
      </c>
      <c r="L8" s="240" t="s">
        <v>281</v>
      </c>
      <c r="M8" s="239" t="s">
        <v>281</v>
      </c>
      <c r="N8" s="239" t="s">
        <v>281</v>
      </c>
      <c r="O8" s="81"/>
      <c r="P8" s="73"/>
      <c r="Q8" s="74"/>
      <c r="R8" s="74"/>
      <c r="S8" s="74"/>
      <c r="T8" s="74"/>
      <c r="U8" s="74"/>
      <c r="V8" s="74"/>
      <c r="W8" s="74"/>
      <c r="X8" s="74"/>
      <c r="Y8" s="74"/>
      <c r="Z8" s="74"/>
      <c r="AA8" s="74"/>
    </row>
    <row r="9" spans="1:27" ht="20.100000000000001" customHeight="1" x14ac:dyDescent="0.25">
      <c r="A9" s="74"/>
      <c r="B9" s="73"/>
      <c r="C9" s="78"/>
      <c r="D9" s="80"/>
      <c r="E9" s="95" t="s">
        <v>162</v>
      </c>
      <c r="F9" s="239" t="s">
        <v>280</v>
      </c>
      <c r="G9" s="239" t="s">
        <v>280</v>
      </c>
      <c r="H9" s="239" t="s">
        <v>281</v>
      </c>
      <c r="I9" s="240" t="s">
        <v>281</v>
      </c>
      <c r="J9" s="239" t="s">
        <v>281</v>
      </c>
      <c r="K9" s="240" t="s">
        <v>281</v>
      </c>
      <c r="L9" s="240" t="s">
        <v>281</v>
      </c>
      <c r="M9" s="239" t="s">
        <v>281</v>
      </c>
      <c r="N9" s="239" t="s">
        <v>281</v>
      </c>
      <c r="O9" s="81"/>
      <c r="P9" s="73"/>
      <c r="Q9" s="74"/>
      <c r="R9" s="74"/>
      <c r="S9" s="74"/>
      <c r="T9" s="74"/>
      <c r="U9" s="74"/>
      <c r="V9" s="74"/>
      <c r="W9" s="74"/>
      <c r="X9" s="74"/>
      <c r="Y9" s="74"/>
      <c r="Z9" s="74"/>
      <c r="AA9" s="74"/>
    </row>
    <row r="10" spans="1:27" ht="20.100000000000001" customHeight="1" x14ac:dyDescent="0.25">
      <c r="A10" s="74"/>
      <c r="B10" s="73"/>
      <c r="C10" s="78"/>
      <c r="D10" s="80"/>
      <c r="E10" s="95" t="s">
        <v>216</v>
      </c>
      <c r="F10" s="239" t="s">
        <v>280</v>
      </c>
      <c r="G10" s="239" t="s">
        <v>280</v>
      </c>
      <c r="H10" s="239" t="s">
        <v>281</v>
      </c>
      <c r="I10" s="240" t="s">
        <v>281</v>
      </c>
      <c r="J10" s="239" t="s">
        <v>281</v>
      </c>
      <c r="K10" s="240" t="s">
        <v>281</v>
      </c>
      <c r="L10" s="240" t="s">
        <v>281</v>
      </c>
      <c r="M10" s="239" t="s">
        <v>281</v>
      </c>
      <c r="N10" s="239" t="s">
        <v>281</v>
      </c>
      <c r="O10" s="81"/>
      <c r="P10" s="73"/>
      <c r="Q10" s="74"/>
      <c r="R10" s="74"/>
      <c r="S10" s="74"/>
      <c r="T10" s="74"/>
      <c r="U10" s="74"/>
      <c r="V10" s="74"/>
      <c r="W10" s="74"/>
      <c r="X10" s="74"/>
      <c r="Y10" s="74"/>
      <c r="Z10" s="74"/>
      <c r="AA10" s="74"/>
    </row>
    <row r="11" spans="1:27" ht="20.100000000000001" customHeight="1" x14ac:dyDescent="0.25">
      <c r="A11" s="74"/>
      <c r="B11" s="73"/>
      <c r="C11" s="78"/>
      <c r="D11" s="80"/>
      <c r="E11" s="95" t="s">
        <v>215</v>
      </c>
      <c r="F11" s="239" t="s">
        <v>280</v>
      </c>
      <c r="G11" s="239" t="s">
        <v>280</v>
      </c>
      <c r="H11" s="239" t="s">
        <v>281</v>
      </c>
      <c r="I11" s="240" t="s">
        <v>281</v>
      </c>
      <c r="J11" s="239" t="s">
        <v>281</v>
      </c>
      <c r="K11" s="240" t="s">
        <v>281</v>
      </c>
      <c r="L11" s="240" t="s">
        <v>281</v>
      </c>
      <c r="M11" s="239" t="s">
        <v>281</v>
      </c>
      <c r="N11" s="239" t="s">
        <v>281</v>
      </c>
      <c r="O11" s="81"/>
      <c r="P11" s="73"/>
      <c r="Q11" s="74"/>
      <c r="R11" s="74"/>
      <c r="S11" s="74"/>
      <c r="T11" s="74"/>
      <c r="U11" s="74"/>
      <c r="V11" s="74"/>
      <c r="W11" s="74"/>
      <c r="X11" s="74"/>
      <c r="Y11" s="74"/>
      <c r="Z11" s="74"/>
      <c r="AA11" s="74"/>
    </row>
    <row r="12" spans="1:27" ht="20.100000000000001" customHeight="1" x14ac:dyDescent="0.25">
      <c r="A12" s="74"/>
      <c r="B12" s="73"/>
      <c r="C12" s="78"/>
      <c r="D12" s="80"/>
      <c r="E12" s="95" t="s">
        <v>207</v>
      </c>
      <c r="F12" s="239" t="s">
        <v>280</v>
      </c>
      <c r="G12" s="239" t="s">
        <v>280</v>
      </c>
      <c r="H12" s="239" t="s">
        <v>281</v>
      </c>
      <c r="I12" s="240" t="s">
        <v>281</v>
      </c>
      <c r="J12" s="239" t="s">
        <v>281</v>
      </c>
      <c r="K12" s="240" t="s">
        <v>281</v>
      </c>
      <c r="L12" s="240" t="s">
        <v>281</v>
      </c>
      <c r="M12" s="239" t="s">
        <v>281</v>
      </c>
      <c r="N12" s="239" t="s">
        <v>281</v>
      </c>
      <c r="O12" s="81"/>
      <c r="P12" s="73"/>
      <c r="Q12" s="74"/>
      <c r="R12" s="74"/>
      <c r="S12" s="74"/>
      <c r="T12" s="74"/>
      <c r="U12" s="74"/>
      <c r="V12" s="74"/>
      <c r="W12" s="74"/>
      <c r="X12" s="74"/>
      <c r="Y12" s="74"/>
      <c r="Z12" s="74"/>
      <c r="AA12" s="74"/>
    </row>
    <row r="13" spans="1:27" ht="20.100000000000001" customHeight="1" x14ac:dyDescent="0.25">
      <c r="A13" s="74"/>
      <c r="B13" s="73"/>
      <c r="C13" s="78"/>
      <c r="D13" s="80"/>
      <c r="E13" s="95" t="s">
        <v>163</v>
      </c>
      <c r="F13" s="239" t="s">
        <v>280</v>
      </c>
      <c r="G13" s="239" t="s">
        <v>280</v>
      </c>
      <c r="H13" s="239" t="s">
        <v>281</v>
      </c>
      <c r="I13" s="240" t="s">
        <v>281</v>
      </c>
      <c r="J13" s="239" t="s">
        <v>281</v>
      </c>
      <c r="K13" s="240" t="s">
        <v>281</v>
      </c>
      <c r="L13" s="240" t="s">
        <v>281</v>
      </c>
      <c r="M13" s="239" t="s">
        <v>281</v>
      </c>
      <c r="N13" s="239" t="s">
        <v>281</v>
      </c>
      <c r="O13" s="81"/>
      <c r="P13" s="73"/>
      <c r="Q13" s="74"/>
      <c r="R13" s="74"/>
      <c r="S13" s="74"/>
      <c r="T13" s="74"/>
      <c r="U13" s="74"/>
      <c r="V13" s="74"/>
      <c r="W13" s="74"/>
      <c r="X13" s="74"/>
      <c r="Y13" s="74"/>
      <c r="Z13" s="74"/>
      <c r="AA13" s="74"/>
    </row>
    <row r="14" spans="1:27" ht="20.100000000000001" customHeight="1" x14ac:dyDescent="0.25">
      <c r="A14" s="74"/>
      <c r="B14" s="73"/>
      <c r="C14" s="78"/>
      <c r="D14" s="80"/>
      <c r="E14" s="95" t="s">
        <v>203</v>
      </c>
      <c r="F14" s="239" t="s">
        <v>280</v>
      </c>
      <c r="G14" s="239" t="s">
        <v>280</v>
      </c>
      <c r="H14" s="239" t="s">
        <v>281</v>
      </c>
      <c r="I14" s="240" t="s">
        <v>281</v>
      </c>
      <c r="J14" s="239" t="s">
        <v>281</v>
      </c>
      <c r="K14" s="240" t="s">
        <v>281</v>
      </c>
      <c r="L14" s="240" t="s">
        <v>281</v>
      </c>
      <c r="M14" s="239" t="s">
        <v>281</v>
      </c>
      <c r="N14" s="239" t="s">
        <v>281</v>
      </c>
      <c r="O14" s="81"/>
      <c r="P14" s="73"/>
      <c r="Q14" s="74"/>
      <c r="R14" s="74"/>
      <c r="S14" s="74"/>
      <c r="T14" s="74"/>
      <c r="U14" s="74"/>
      <c r="V14" s="74"/>
      <c r="W14" s="74"/>
      <c r="X14" s="74"/>
      <c r="Y14" s="74"/>
      <c r="Z14" s="74"/>
      <c r="AA14" s="74"/>
    </row>
    <row r="15" spans="1:27" ht="20.100000000000001" customHeight="1" x14ac:dyDescent="0.25">
      <c r="A15" s="74"/>
      <c r="B15" s="73"/>
      <c r="C15" s="78"/>
      <c r="D15" s="80"/>
      <c r="E15" s="95" t="s">
        <v>208</v>
      </c>
      <c r="F15" s="239" t="s">
        <v>280</v>
      </c>
      <c r="G15" s="239" t="s">
        <v>280</v>
      </c>
      <c r="H15" s="239" t="s">
        <v>281</v>
      </c>
      <c r="I15" s="240" t="s">
        <v>281</v>
      </c>
      <c r="J15" s="239" t="s">
        <v>281</v>
      </c>
      <c r="K15" s="240" t="s">
        <v>281</v>
      </c>
      <c r="L15" s="240" t="s">
        <v>281</v>
      </c>
      <c r="M15" s="239" t="s">
        <v>281</v>
      </c>
      <c r="N15" s="239" t="s">
        <v>281</v>
      </c>
      <c r="O15" s="81"/>
      <c r="P15" s="73"/>
      <c r="Q15" s="74"/>
      <c r="R15" s="74"/>
      <c r="S15" s="74"/>
      <c r="T15" s="74"/>
      <c r="U15" s="74"/>
      <c r="V15" s="74"/>
      <c r="W15" s="74"/>
      <c r="X15" s="74"/>
      <c r="Y15" s="74"/>
      <c r="Z15" s="74"/>
      <c r="AA15" s="74"/>
    </row>
    <row r="16" spans="1:27" ht="20.100000000000001" customHeight="1" x14ac:dyDescent="0.25">
      <c r="A16" s="74"/>
      <c r="B16" s="73"/>
      <c r="C16" s="78"/>
      <c r="D16" s="80"/>
      <c r="E16" s="95" t="s">
        <v>204</v>
      </c>
      <c r="F16" s="239" t="s">
        <v>280</v>
      </c>
      <c r="G16" s="239" t="s">
        <v>280</v>
      </c>
      <c r="H16" s="239" t="s">
        <v>281</v>
      </c>
      <c r="I16" s="240" t="s">
        <v>281</v>
      </c>
      <c r="J16" s="239" t="s">
        <v>281</v>
      </c>
      <c r="K16" s="240" t="s">
        <v>281</v>
      </c>
      <c r="L16" s="240" t="s">
        <v>281</v>
      </c>
      <c r="M16" s="239" t="s">
        <v>281</v>
      </c>
      <c r="N16" s="239" t="s">
        <v>281</v>
      </c>
      <c r="O16" s="81"/>
      <c r="P16" s="73"/>
      <c r="Q16" s="74"/>
      <c r="R16" s="74"/>
      <c r="S16" s="74"/>
      <c r="T16" s="74"/>
      <c r="U16" s="74"/>
      <c r="V16" s="74"/>
      <c r="W16" s="74"/>
      <c r="X16" s="74"/>
      <c r="Y16" s="74"/>
      <c r="Z16" s="74"/>
      <c r="AA16" s="74"/>
    </row>
    <row r="17" spans="1:27" ht="20.100000000000001" customHeight="1" x14ac:dyDescent="0.25">
      <c r="A17" s="74"/>
      <c r="B17" s="73"/>
      <c r="C17" s="78"/>
      <c r="D17" s="80"/>
      <c r="E17" s="95" t="s">
        <v>209</v>
      </c>
      <c r="F17" s="239" t="s">
        <v>280</v>
      </c>
      <c r="G17" s="239" t="s">
        <v>280</v>
      </c>
      <c r="H17" s="239" t="s">
        <v>280</v>
      </c>
      <c r="I17" s="240" t="s">
        <v>281</v>
      </c>
      <c r="J17" s="316" t="s">
        <v>280</v>
      </c>
      <c r="K17" s="240" t="s">
        <v>281</v>
      </c>
      <c r="L17" s="240" t="s">
        <v>281</v>
      </c>
      <c r="M17" s="239" t="s">
        <v>281</v>
      </c>
      <c r="N17" s="239" t="s">
        <v>281</v>
      </c>
      <c r="O17" s="81"/>
      <c r="P17" s="73"/>
      <c r="Q17" s="74"/>
      <c r="R17" s="74"/>
      <c r="S17" s="74"/>
      <c r="T17" s="74"/>
      <c r="U17" s="74"/>
      <c r="V17" s="74"/>
      <c r="W17" s="74"/>
      <c r="X17" s="74"/>
      <c r="Y17" s="74"/>
      <c r="Z17" s="74"/>
      <c r="AA17" s="74"/>
    </row>
    <row r="18" spans="1:27" ht="20.100000000000001" customHeight="1" x14ac:dyDescent="0.25">
      <c r="A18" s="74"/>
      <c r="B18" s="73"/>
      <c r="C18" s="78"/>
      <c r="D18" s="80"/>
      <c r="E18" s="95" t="s">
        <v>210</v>
      </c>
      <c r="F18" s="239" t="s">
        <v>280</v>
      </c>
      <c r="G18" s="239" t="s">
        <v>280</v>
      </c>
      <c r="H18" s="239" t="s">
        <v>280</v>
      </c>
      <c r="I18" s="240" t="s">
        <v>281</v>
      </c>
      <c r="J18" s="316" t="s">
        <v>280</v>
      </c>
      <c r="K18" s="240" t="s">
        <v>281</v>
      </c>
      <c r="L18" s="240" t="s">
        <v>281</v>
      </c>
      <c r="M18" s="239" t="s">
        <v>281</v>
      </c>
      <c r="N18" s="239" t="s">
        <v>281</v>
      </c>
      <c r="O18" s="81"/>
      <c r="P18" s="73"/>
      <c r="Q18" s="74"/>
      <c r="R18" s="74"/>
      <c r="S18" s="74"/>
      <c r="T18" s="74"/>
      <c r="U18" s="74"/>
      <c r="V18" s="74"/>
      <c r="W18" s="74"/>
      <c r="X18" s="74"/>
      <c r="Y18" s="74"/>
      <c r="Z18" s="74"/>
      <c r="AA18" s="74"/>
    </row>
    <row r="19" spans="1:27" ht="20.100000000000001" customHeight="1" x14ac:dyDescent="0.25">
      <c r="A19" s="74"/>
      <c r="B19" s="73"/>
      <c r="C19" s="78"/>
      <c r="D19" s="80"/>
      <c r="E19" s="95" t="s">
        <v>211</v>
      </c>
      <c r="F19" s="239" t="s">
        <v>280</v>
      </c>
      <c r="G19" s="239" t="s">
        <v>280</v>
      </c>
      <c r="H19" s="239" t="s">
        <v>280</v>
      </c>
      <c r="I19" s="240" t="s">
        <v>281</v>
      </c>
      <c r="J19" s="316" t="s">
        <v>280</v>
      </c>
      <c r="K19" s="240" t="s">
        <v>281</v>
      </c>
      <c r="L19" s="240" t="s">
        <v>281</v>
      </c>
      <c r="M19" s="239" t="s">
        <v>281</v>
      </c>
      <c r="N19" s="239" t="s">
        <v>281</v>
      </c>
      <c r="O19" s="81"/>
      <c r="P19" s="73"/>
      <c r="Q19" s="74"/>
      <c r="R19" s="74"/>
      <c r="S19" s="74"/>
      <c r="T19" s="74"/>
      <c r="U19" s="74"/>
      <c r="V19" s="74"/>
      <c r="W19" s="74"/>
      <c r="X19" s="74"/>
      <c r="Y19" s="74"/>
      <c r="Z19" s="74"/>
      <c r="AA19" s="74"/>
    </row>
    <row r="20" spans="1:27" ht="20.100000000000001" customHeight="1" x14ac:dyDescent="0.25">
      <c r="A20" s="74"/>
      <c r="B20" s="73"/>
      <c r="C20" s="78"/>
      <c r="D20" s="80"/>
      <c r="E20" s="95" t="s">
        <v>234</v>
      </c>
      <c r="F20" s="239" t="s">
        <v>280</v>
      </c>
      <c r="G20" s="239" t="s">
        <v>280</v>
      </c>
      <c r="H20" s="239" t="s">
        <v>280</v>
      </c>
      <c r="I20" s="240" t="s">
        <v>281</v>
      </c>
      <c r="J20" s="239" t="s">
        <v>280</v>
      </c>
      <c r="K20" s="240" t="s">
        <v>281</v>
      </c>
      <c r="L20" s="240" t="s">
        <v>281</v>
      </c>
      <c r="M20" s="239" t="s">
        <v>281</v>
      </c>
      <c r="N20" s="239" t="s">
        <v>281</v>
      </c>
      <c r="O20" s="81"/>
      <c r="P20" s="73"/>
      <c r="Q20" s="74"/>
      <c r="R20" s="74"/>
      <c r="S20" s="74"/>
      <c r="T20" s="74"/>
      <c r="U20" s="74"/>
      <c r="V20" s="74"/>
      <c r="W20" s="74"/>
      <c r="X20" s="74"/>
      <c r="Y20" s="74"/>
      <c r="Z20" s="74"/>
      <c r="AA20" s="74"/>
    </row>
    <row r="21" spans="1:27" ht="20.100000000000001" customHeight="1" x14ac:dyDescent="0.25">
      <c r="A21" s="74"/>
      <c r="B21" s="73"/>
      <c r="C21" s="78"/>
      <c r="D21" s="80"/>
      <c r="E21" s="95" t="s">
        <v>229</v>
      </c>
      <c r="F21" s="239" t="s">
        <v>280</v>
      </c>
      <c r="G21" s="239" t="s">
        <v>280</v>
      </c>
      <c r="H21" s="239" t="s">
        <v>280</v>
      </c>
      <c r="I21" s="240" t="s">
        <v>281</v>
      </c>
      <c r="J21" s="316" t="s">
        <v>280</v>
      </c>
      <c r="K21" s="240" t="s">
        <v>281</v>
      </c>
      <c r="L21" s="240" t="s">
        <v>281</v>
      </c>
      <c r="M21" s="239" t="s">
        <v>281</v>
      </c>
      <c r="N21" s="239" t="s">
        <v>281</v>
      </c>
      <c r="O21" s="81"/>
      <c r="P21" s="73"/>
      <c r="Q21" s="74"/>
      <c r="R21" s="74"/>
      <c r="S21" s="74"/>
      <c r="T21" s="74"/>
      <c r="U21" s="74"/>
      <c r="V21" s="74"/>
      <c r="W21" s="74"/>
      <c r="X21" s="74"/>
      <c r="Y21" s="74"/>
      <c r="Z21" s="74"/>
      <c r="AA21" s="74"/>
    </row>
    <row r="22" spans="1:27" ht="20.100000000000001" customHeight="1" x14ac:dyDescent="0.25">
      <c r="A22" s="74"/>
      <c r="B22" s="73"/>
      <c r="C22" s="78"/>
      <c r="D22" s="80"/>
      <c r="E22" s="95" t="s">
        <v>230</v>
      </c>
      <c r="F22" s="239" t="s">
        <v>280</v>
      </c>
      <c r="G22" s="239" t="s">
        <v>280</v>
      </c>
      <c r="H22" s="239" t="s">
        <v>280</v>
      </c>
      <c r="I22" s="240" t="s">
        <v>281</v>
      </c>
      <c r="J22" s="316" t="s">
        <v>280</v>
      </c>
      <c r="K22" s="240" t="s">
        <v>281</v>
      </c>
      <c r="L22" s="240" t="s">
        <v>281</v>
      </c>
      <c r="M22" s="239" t="s">
        <v>281</v>
      </c>
      <c r="N22" s="239" t="s">
        <v>281</v>
      </c>
      <c r="O22" s="81"/>
      <c r="P22" s="73"/>
      <c r="Q22" s="74"/>
      <c r="R22" s="74"/>
      <c r="S22" s="74"/>
      <c r="T22" s="74"/>
      <c r="U22" s="74"/>
      <c r="V22" s="74"/>
      <c r="W22" s="74"/>
      <c r="X22" s="74"/>
      <c r="Y22" s="74"/>
      <c r="Z22" s="74"/>
      <c r="AA22" s="74"/>
    </row>
    <row r="23" spans="1:27" ht="20.100000000000001" customHeight="1" x14ac:dyDescent="0.25">
      <c r="A23" s="74"/>
      <c r="B23" s="73"/>
      <c r="C23" s="78"/>
      <c r="D23" s="80"/>
      <c r="E23" s="95" t="s">
        <v>231</v>
      </c>
      <c r="F23" s="239" t="s">
        <v>280</v>
      </c>
      <c r="G23" s="239" t="s">
        <v>280</v>
      </c>
      <c r="H23" s="239" t="s">
        <v>280</v>
      </c>
      <c r="I23" s="240" t="s">
        <v>281</v>
      </c>
      <c r="J23" s="316" t="s">
        <v>280</v>
      </c>
      <c r="K23" s="240" t="s">
        <v>281</v>
      </c>
      <c r="L23" s="240" t="s">
        <v>281</v>
      </c>
      <c r="M23" s="239" t="s">
        <v>281</v>
      </c>
      <c r="N23" s="239" t="s">
        <v>281</v>
      </c>
      <c r="O23" s="81"/>
      <c r="P23" s="73"/>
      <c r="Q23" s="74"/>
      <c r="R23" s="74"/>
      <c r="S23" s="74"/>
      <c r="T23" s="74"/>
      <c r="U23" s="74"/>
      <c r="V23" s="74"/>
      <c r="W23" s="74"/>
      <c r="X23" s="74"/>
      <c r="Y23" s="74"/>
      <c r="Z23" s="74"/>
      <c r="AA23" s="74"/>
    </row>
    <row r="24" spans="1:27" ht="20.100000000000001" customHeight="1" x14ac:dyDescent="0.25">
      <c r="A24" s="74"/>
      <c r="B24" s="73"/>
      <c r="C24" s="78"/>
      <c r="D24" s="80"/>
      <c r="E24" s="95" t="s">
        <v>232</v>
      </c>
      <c r="F24" s="239" t="s">
        <v>280</v>
      </c>
      <c r="G24" s="239" t="s">
        <v>280</v>
      </c>
      <c r="H24" s="239" t="s">
        <v>280</v>
      </c>
      <c r="I24" s="240" t="s">
        <v>281</v>
      </c>
      <c r="J24" s="316" t="s">
        <v>280</v>
      </c>
      <c r="K24" s="240" t="s">
        <v>281</v>
      </c>
      <c r="L24" s="240" t="s">
        <v>281</v>
      </c>
      <c r="M24" s="239" t="s">
        <v>281</v>
      </c>
      <c r="N24" s="239" t="s">
        <v>281</v>
      </c>
      <c r="O24" s="81"/>
      <c r="P24" s="73"/>
      <c r="Q24" s="74"/>
      <c r="R24" s="74"/>
      <c r="S24" s="74"/>
      <c r="T24" s="74"/>
      <c r="U24" s="74"/>
      <c r="V24" s="74"/>
      <c r="W24" s="74"/>
      <c r="X24" s="74"/>
      <c r="Y24" s="74"/>
      <c r="Z24" s="74"/>
      <c r="AA24" s="74"/>
    </row>
    <row r="25" spans="1:27" ht="20.100000000000001" customHeight="1" x14ac:dyDescent="0.25">
      <c r="A25" s="74"/>
      <c r="B25" s="73"/>
      <c r="C25" s="78"/>
      <c r="D25" s="80"/>
      <c r="E25" s="95" t="s">
        <v>233</v>
      </c>
      <c r="F25" s="239" t="s">
        <v>280</v>
      </c>
      <c r="G25" s="239" t="s">
        <v>280</v>
      </c>
      <c r="H25" s="239" t="s">
        <v>280</v>
      </c>
      <c r="I25" s="240" t="s">
        <v>281</v>
      </c>
      <c r="J25" s="316" t="s">
        <v>280</v>
      </c>
      <c r="K25" s="240" t="s">
        <v>281</v>
      </c>
      <c r="L25" s="240" t="s">
        <v>281</v>
      </c>
      <c r="M25" s="239" t="s">
        <v>281</v>
      </c>
      <c r="N25" s="239" t="s">
        <v>281</v>
      </c>
      <c r="O25" s="81"/>
      <c r="P25" s="73"/>
      <c r="Q25" s="74"/>
      <c r="R25" s="74"/>
      <c r="S25" s="74"/>
      <c r="T25" s="74"/>
      <c r="U25" s="74"/>
      <c r="V25" s="74"/>
      <c r="W25" s="74"/>
      <c r="X25" s="74"/>
      <c r="Y25" s="74"/>
      <c r="Z25" s="74"/>
      <c r="AA25" s="74"/>
    </row>
    <row r="26" spans="1:27" ht="20.100000000000001" customHeight="1" x14ac:dyDescent="0.25">
      <c r="A26" s="74"/>
      <c r="B26" s="73"/>
      <c r="C26" s="78"/>
      <c r="D26" s="80"/>
      <c r="E26" s="95" t="s">
        <v>23</v>
      </c>
      <c r="F26" s="315" t="s">
        <v>280</v>
      </c>
      <c r="G26" s="315" t="s">
        <v>280</v>
      </c>
      <c r="H26" s="315" t="s">
        <v>280</v>
      </c>
      <c r="I26" s="240" t="s">
        <v>281</v>
      </c>
      <c r="J26" s="239" t="s">
        <v>280</v>
      </c>
      <c r="K26" s="240" t="s">
        <v>281</v>
      </c>
      <c r="L26" s="240" t="s">
        <v>281</v>
      </c>
      <c r="M26" s="239" t="s">
        <v>281</v>
      </c>
      <c r="N26" s="239" t="s">
        <v>281</v>
      </c>
      <c r="O26" s="81"/>
      <c r="P26" s="73"/>
      <c r="Q26" s="74"/>
      <c r="R26" s="74"/>
      <c r="S26" s="74"/>
      <c r="T26" s="74"/>
      <c r="U26" s="74"/>
      <c r="V26" s="74"/>
      <c r="W26" s="74"/>
      <c r="X26" s="74"/>
      <c r="Y26" s="74"/>
      <c r="Z26" s="74"/>
      <c r="AA26" s="74"/>
    </row>
    <row r="27" spans="1:27" ht="20.100000000000001" customHeight="1" x14ac:dyDescent="0.25">
      <c r="A27" s="74"/>
      <c r="B27" s="73"/>
      <c r="C27" s="78"/>
      <c r="D27" s="80"/>
      <c r="E27" s="95" t="s">
        <v>474</v>
      </c>
      <c r="F27" s="315" t="s">
        <v>280</v>
      </c>
      <c r="G27" s="315" t="s">
        <v>280</v>
      </c>
      <c r="H27" s="315" t="s">
        <v>280</v>
      </c>
      <c r="I27" s="240" t="s">
        <v>281</v>
      </c>
      <c r="J27" s="315" t="s">
        <v>280</v>
      </c>
      <c r="K27" s="240" t="s">
        <v>281</v>
      </c>
      <c r="L27" s="240" t="s">
        <v>281</v>
      </c>
      <c r="M27" s="239" t="s">
        <v>281</v>
      </c>
      <c r="N27" s="239" t="s">
        <v>281</v>
      </c>
      <c r="O27" s="81"/>
      <c r="P27" s="73"/>
      <c r="Q27" s="74"/>
      <c r="R27" s="74"/>
      <c r="S27" s="74"/>
      <c r="T27" s="74"/>
      <c r="U27" s="74"/>
      <c r="V27" s="74"/>
      <c r="W27" s="74"/>
      <c r="X27" s="74"/>
      <c r="Y27" s="74"/>
      <c r="Z27" s="74"/>
      <c r="AA27" s="74"/>
    </row>
    <row r="28" spans="1:27" ht="20.100000000000001" customHeight="1" x14ac:dyDescent="0.25">
      <c r="A28" s="74"/>
      <c r="B28" s="73"/>
      <c r="C28" s="78"/>
      <c r="D28" s="80"/>
      <c r="E28" s="95" t="s">
        <v>273</v>
      </c>
      <c r="F28" s="315" t="s">
        <v>280</v>
      </c>
      <c r="G28" s="315" t="s">
        <v>280</v>
      </c>
      <c r="H28" s="315" t="s">
        <v>280</v>
      </c>
      <c r="I28" s="240" t="s">
        <v>281</v>
      </c>
      <c r="J28" s="315"/>
      <c r="K28" s="240" t="s">
        <v>281</v>
      </c>
      <c r="L28" s="240" t="s">
        <v>281</v>
      </c>
      <c r="M28" s="239" t="s">
        <v>281</v>
      </c>
      <c r="N28" s="239" t="s">
        <v>281</v>
      </c>
      <c r="O28" s="81"/>
      <c r="P28" s="73"/>
      <c r="Q28" s="74"/>
      <c r="R28" s="74"/>
      <c r="S28" s="74"/>
      <c r="T28" s="74"/>
      <c r="U28" s="74"/>
      <c r="V28" s="74"/>
      <c r="W28" s="74"/>
      <c r="X28" s="74"/>
      <c r="Y28" s="74"/>
      <c r="Z28" s="74"/>
      <c r="AA28" s="74"/>
    </row>
    <row r="29" spans="1:27" ht="20.100000000000001" customHeight="1" x14ac:dyDescent="0.25">
      <c r="A29" s="74"/>
      <c r="B29" s="73"/>
      <c r="C29" s="78"/>
      <c r="D29" s="80"/>
      <c r="E29" s="95" t="s">
        <v>112</v>
      </c>
      <c r="F29" s="315" t="s">
        <v>280</v>
      </c>
      <c r="G29" s="315" t="s">
        <v>280</v>
      </c>
      <c r="H29" s="315" t="s">
        <v>280</v>
      </c>
      <c r="I29" s="240" t="s">
        <v>281</v>
      </c>
      <c r="J29" s="315"/>
      <c r="K29" s="240" t="s">
        <v>281</v>
      </c>
      <c r="L29" s="240" t="s">
        <v>281</v>
      </c>
      <c r="M29" s="239" t="s">
        <v>281</v>
      </c>
      <c r="N29" s="239" t="s">
        <v>281</v>
      </c>
      <c r="O29" s="81"/>
      <c r="P29" s="73"/>
      <c r="Q29" s="74"/>
      <c r="R29" s="74"/>
      <c r="S29" s="74"/>
      <c r="T29" s="74"/>
      <c r="U29" s="74"/>
      <c r="V29" s="74"/>
      <c r="W29" s="74"/>
      <c r="X29" s="74"/>
      <c r="Y29" s="74"/>
      <c r="Z29" s="74"/>
      <c r="AA29" s="74"/>
    </row>
    <row r="30" spans="1:27" ht="20.100000000000001" customHeight="1" x14ac:dyDescent="0.25">
      <c r="A30" s="74"/>
      <c r="B30" s="73"/>
      <c r="C30" s="78"/>
      <c r="D30" s="80"/>
      <c r="E30" s="95" t="s">
        <v>131</v>
      </c>
      <c r="F30" s="315" t="s">
        <v>280</v>
      </c>
      <c r="G30" s="315" t="s">
        <v>280</v>
      </c>
      <c r="H30" s="315" t="s">
        <v>280</v>
      </c>
      <c r="I30" s="240" t="s">
        <v>281</v>
      </c>
      <c r="J30" s="315"/>
      <c r="K30" s="240" t="s">
        <v>281</v>
      </c>
      <c r="L30" s="240" t="s">
        <v>281</v>
      </c>
      <c r="M30" s="239" t="s">
        <v>281</v>
      </c>
      <c r="N30" s="239" t="s">
        <v>281</v>
      </c>
      <c r="O30" s="81"/>
      <c r="P30" s="73"/>
      <c r="Q30" s="74"/>
      <c r="R30" s="74"/>
      <c r="S30" s="74"/>
      <c r="T30" s="74"/>
      <c r="U30" s="74"/>
      <c r="V30" s="74"/>
      <c r="W30" s="74"/>
      <c r="X30" s="74"/>
      <c r="Y30" s="74"/>
      <c r="Z30" s="74"/>
      <c r="AA30" s="74"/>
    </row>
    <row r="31" spans="1:27" ht="20.100000000000001" customHeight="1" x14ac:dyDescent="0.25">
      <c r="A31" s="74"/>
      <c r="B31" s="73"/>
      <c r="C31" s="78"/>
      <c r="D31" s="80"/>
      <c r="E31" s="95" t="s">
        <v>132</v>
      </c>
      <c r="F31" s="315" t="s">
        <v>280</v>
      </c>
      <c r="G31" s="315" t="s">
        <v>280</v>
      </c>
      <c r="H31" s="315" t="s">
        <v>280</v>
      </c>
      <c r="I31" s="240" t="s">
        <v>281</v>
      </c>
      <c r="J31" s="315"/>
      <c r="K31" s="240" t="s">
        <v>281</v>
      </c>
      <c r="L31" s="240" t="s">
        <v>281</v>
      </c>
      <c r="M31" s="239" t="s">
        <v>281</v>
      </c>
      <c r="N31" s="239" t="s">
        <v>281</v>
      </c>
      <c r="O31" s="81"/>
      <c r="P31" s="73"/>
      <c r="Q31" s="74"/>
      <c r="R31" s="74"/>
      <c r="S31" s="74"/>
      <c r="T31" s="74"/>
      <c r="U31" s="74"/>
      <c r="V31" s="74"/>
      <c r="W31" s="74"/>
      <c r="X31" s="74"/>
      <c r="Y31" s="74"/>
      <c r="Z31" s="74"/>
      <c r="AA31" s="74"/>
    </row>
    <row r="32" spans="1:27" ht="20.100000000000001" customHeight="1" x14ac:dyDescent="0.25">
      <c r="A32" s="74"/>
      <c r="B32" s="73"/>
      <c r="C32" s="78"/>
      <c r="D32" s="80"/>
      <c r="E32" s="95" t="s">
        <v>115</v>
      </c>
      <c r="F32" s="315" t="s">
        <v>280</v>
      </c>
      <c r="G32" s="315" t="s">
        <v>280</v>
      </c>
      <c r="H32" s="315" t="s">
        <v>280</v>
      </c>
      <c r="I32" s="240" t="s">
        <v>281</v>
      </c>
      <c r="J32" s="315"/>
      <c r="K32" s="240" t="s">
        <v>281</v>
      </c>
      <c r="L32" s="240" t="s">
        <v>281</v>
      </c>
      <c r="M32" s="239" t="s">
        <v>281</v>
      </c>
      <c r="N32" s="239" t="s">
        <v>281</v>
      </c>
      <c r="O32" s="81"/>
      <c r="P32" s="73"/>
      <c r="Q32" s="74"/>
      <c r="R32" s="74"/>
      <c r="S32" s="74"/>
      <c r="T32" s="74"/>
      <c r="U32" s="74"/>
      <c r="V32" s="74"/>
      <c r="W32" s="74"/>
      <c r="X32" s="74"/>
      <c r="Y32" s="74"/>
      <c r="Z32" s="74"/>
      <c r="AA32" s="74"/>
    </row>
    <row r="33" spans="1:27" ht="20.100000000000001" customHeight="1" x14ac:dyDescent="0.25">
      <c r="A33" s="74"/>
      <c r="B33" s="73"/>
      <c r="C33" s="78"/>
      <c r="D33" s="80"/>
      <c r="E33" s="95" t="s">
        <v>109</v>
      </c>
      <c r="F33" s="315" t="s">
        <v>280</v>
      </c>
      <c r="G33" s="315" t="s">
        <v>280</v>
      </c>
      <c r="H33" s="315" t="s">
        <v>280</v>
      </c>
      <c r="I33" s="240" t="s">
        <v>281</v>
      </c>
      <c r="J33" s="315"/>
      <c r="K33" s="240" t="s">
        <v>281</v>
      </c>
      <c r="L33" s="240" t="s">
        <v>281</v>
      </c>
      <c r="M33" s="239" t="s">
        <v>281</v>
      </c>
      <c r="N33" s="239" t="s">
        <v>281</v>
      </c>
      <c r="O33" s="81"/>
      <c r="P33" s="73"/>
      <c r="Q33" s="74"/>
      <c r="R33" s="74"/>
      <c r="S33" s="74"/>
      <c r="T33" s="74"/>
      <c r="U33" s="74"/>
      <c r="V33" s="74"/>
      <c r="W33" s="74"/>
      <c r="X33" s="74"/>
      <c r="Y33" s="74"/>
      <c r="Z33" s="74"/>
      <c r="AA33" s="74"/>
    </row>
    <row r="34" spans="1:27" ht="20.100000000000001" customHeight="1" x14ac:dyDescent="0.25">
      <c r="A34" s="74"/>
      <c r="B34" s="73"/>
      <c r="C34" s="78"/>
      <c r="D34" s="80"/>
      <c r="E34" s="95" t="s">
        <v>110</v>
      </c>
      <c r="F34" s="315" t="s">
        <v>280</v>
      </c>
      <c r="G34" s="315" t="s">
        <v>280</v>
      </c>
      <c r="H34" s="315" t="s">
        <v>280</v>
      </c>
      <c r="I34" s="240" t="s">
        <v>281</v>
      </c>
      <c r="J34" s="315"/>
      <c r="K34" s="240" t="s">
        <v>281</v>
      </c>
      <c r="L34" s="240" t="s">
        <v>281</v>
      </c>
      <c r="M34" s="239" t="s">
        <v>281</v>
      </c>
      <c r="N34" s="239" t="s">
        <v>281</v>
      </c>
      <c r="O34" s="81"/>
      <c r="P34" s="73"/>
      <c r="Q34" s="74"/>
      <c r="R34" s="74"/>
      <c r="S34" s="74"/>
      <c r="T34" s="74"/>
      <c r="U34" s="74"/>
      <c r="V34" s="74"/>
      <c r="W34" s="74"/>
      <c r="X34" s="74"/>
      <c r="Y34" s="74"/>
      <c r="Z34" s="74"/>
      <c r="AA34" s="74"/>
    </row>
    <row r="35" spans="1:27" ht="20.100000000000001" customHeight="1" x14ac:dyDescent="0.25">
      <c r="A35" s="74"/>
      <c r="B35" s="73"/>
      <c r="C35" s="78"/>
      <c r="D35" s="80"/>
      <c r="E35" s="95" t="s">
        <v>113</v>
      </c>
      <c r="F35" s="315" t="s">
        <v>280</v>
      </c>
      <c r="G35" s="315" t="s">
        <v>280</v>
      </c>
      <c r="H35" s="315" t="s">
        <v>280</v>
      </c>
      <c r="I35" s="240" t="s">
        <v>281</v>
      </c>
      <c r="J35" s="315" t="s">
        <v>280</v>
      </c>
      <c r="K35" s="240" t="s">
        <v>281</v>
      </c>
      <c r="L35" s="240" t="s">
        <v>281</v>
      </c>
      <c r="M35" s="239" t="s">
        <v>281</v>
      </c>
      <c r="N35" s="239" t="s">
        <v>281</v>
      </c>
      <c r="O35" s="81"/>
      <c r="P35" s="73"/>
      <c r="Q35" s="74"/>
      <c r="R35" s="74"/>
      <c r="S35" s="74"/>
      <c r="T35" s="74"/>
      <c r="U35" s="74"/>
      <c r="V35" s="74"/>
      <c r="W35" s="74"/>
      <c r="X35" s="74"/>
      <c r="Y35" s="74"/>
      <c r="Z35" s="74"/>
      <c r="AA35" s="74"/>
    </row>
    <row r="36" spans="1:27" ht="20.100000000000001" customHeight="1" x14ac:dyDescent="0.25">
      <c r="A36" s="74"/>
      <c r="B36" s="73"/>
      <c r="C36" s="78"/>
      <c r="D36" s="80"/>
      <c r="E36" s="95" t="s">
        <v>108</v>
      </c>
      <c r="F36" s="239" t="s">
        <v>280</v>
      </c>
      <c r="G36" s="239" t="s">
        <v>280</v>
      </c>
      <c r="H36" s="239" t="s">
        <v>280</v>
      </c>
      <c r="I36" s="240" t="s">
        <v>281</v>
      </c>
      <c r="J36" s="315" t="s">
        <v>280</v>
      </c>
      <c r="K36" s="240" t="s">
        <v>281</v>
      </c>
      <c r="L36" s="240" t="s">
        <v>281</v>
      </c>
      <c r="M36" s="239" t="s">
        <v>281</v>
      </c>
      <c r="N36" s="239" t="s">
        <v>281</v>
      </c>
      <c r="O36" s="81"/>
      <c r="P36" s="73"/>
      <c r="Q36" s="74"/>
      <c r="R36" s="74"/>
      <c r="S36" s="74"/>
      <c r="T36" s="74"/>
      <c r="U36" s="74"/>
      <c r="V36" s="74"/>
      <c r="W36" s="74"/>
      <c r="X36" s="74"/>
      <c r="Y36" s="74"/>
      <c r="Z36" s="74"/>
      <c r="AA36" s="74"/>
    </row>
    <row r="37" spans="1:27" ht="20.100000000000001" customHeight="1" x14ac:dyDescent="0.25">
      <c r="A37" s="74"/>
      <c r="B37" s="73"/>
      <c r="C37" s="78"/>
      <c r="D37" s="80"/>
      <c r="E37" s="95" t="s">
        <v>111</v>
      </c>
      <c r="F37" s="315" t="s">
        <v>280</v>
      </c>
      <c r="G37" s="315" t="s">
        <v>280</v>
      </c>
      <c r="H37" s="315" t="s">
        <v>280</v>
      </c>
      <c r="I37" s="240" t="s">
        <v>281</v>
      </c>
      <c r="J37" s="315"/>
      <c r="K37" s="240" t="s">
        <v>281</v>
      </c>
      <c r="L37" s="240" t="s">
        <v>281</v>
      </c>
      <c r="M37" s="239" t="s">
        <v>281</v>
      </c>
      <c r="N37" s="239" t="s">
        <v>281</v>
      </c>
      <c r="O37" s="81"/>
      <c r="P37" s="73"/>
      <c r="Q37" s="74"/>
      <c r="R37" s="74"/>
      <c r="S37" s="74"/>
      <c r="T37" s="74"/>
      <c r="U37" s="74"/>
      <c r="V37" s="74"/>
      <c r="W37" s="74"/>
      <c r="X37" s="74"/>
      <c r="Y37" s="74"/>
      <c r="Z37" s="74"/>
      <c r="AA37" s="74"/>
    </row>
    <row r="38" spans="1:27" ht="20.100000000000001" customHeight="1" x14ac:dyDescent="0.25">
      <c r="A38" s="74"/>
      <c r="B38" s="73"/>
      <c r="C38" s="78"/>
      <c r="D38" s="80"/>
      <c r="E38" s="95" t="s">
        <v>277</v>
      </c>
      <c r="F38" s="239" t="s">
        <v>280</v>
      </c>
      <c r="G38" s="239" t="s">
        <v>280</v>
      </c>
      <c r="H38" s="239" t="s">
        <v>280</v>
      </c>
      <c r="I38" s="240" t="s">
        <v>281</v>
      </c>
      <c r="J38" s="239" t="s">
        <v>280</v>
      </c>
      <c r="K38" s="240" t="s">
        <v>281</v>
      </c>
      <c r="L38" s="240" t="s">
        <v>281</v>
      </c>
      <c r="M38" s="239" t="s">
        <v>281</v>
      </c>
      <c r="N38" s="239" t="s">
        <v>281</v>
      </c>
      <c r="O38" s="81"/>
      <c r="P38" s="73"/>
      <c r="Q38" s="74"/>
      <c r="R38" s="74"/>
      <c r="S38" s="74"/>
      <c r="T38" s="74"/>
      <c r="U38" s="74"/>
      <c r="V38" s="74"/>
      <c r="W38" s="74"/>
      <c r="X38" s="74"/>
      <c r="Y38" s="74"/>
      <c r="Z38" s="74"/>
      <c r="AA38" s="74"/>
    </row>
    <row r="39" spans="1:27" ht="20.100000000000001" customHeight="1" x14ac:dyDescent="0.25">
      <c r="A39" s="74"/>
      <c r="B39" s="73"/>
      <c r="C39" s="78"/>
      <c r="D39" s="80"/>
      <c r="E39" s="95" t="s">
        <v>116</v>
      </c>
      <c r="F39" s="239" t="s">
        <v>280</v>
      </c>
      <c r="G39" s="239" t="s">
        <v>280</v>
      </c>
      <c r="H39" s="239" t="s">
        <v>280</v>
      </c>
      <c r="I39" s="240" t="s">
        <v>281</v>
      </c>
      <c r="J39" s="239" t="s">
        <v>281</v>
      </c>
      <c r="K39" s="240" t="s">
        <v>281</v>
      </c>
      <c r="L39" s="240" t="s">
        <v>281</v>
      </c>
      <c r="M39" s="239" t="s">
        <v>281</v>
      </c>
      <c r="N39" s="239" t="s">
        <v>281</v>
      </c>
      <c r="O39" s="81"/>
      <c r="P39" s="73"/>
      <c r="Q39" s="74"/>
      <c r="R39" s="74"/>
      <c r="S39" s="74"/>
      <c r="T39" s="74"/>
      <c r="U39" s="74"/>
      <c r="V39" s="74"/>
      <c r="W39" s="74"/>
      <c r="X39" s="74"/>
      <c r="Y39" s="74"/>
      <c r="Z39" s="74"/>
      <c r="AA39" s="74"/>
    </row>
    <row r="40" spans="1:27" ht="20.100000000000001" customHeight="1" x14ac:dyDescent="0.25">
      <c r="A40" s="74"/>
      <c r="B40" s="73"/>
      <c r="C40" s="78"/>
      <c r="D40" s="80"/>
      <c r="E40" s="95" t="s">
        <v>117</v>
      </c>
      <c r="F40" s="239" t="s">
        <v>280</v>
      </c>
      <c r="G40" s="239" t="s">
        <v>280</v>
      </c>
      <c r="H40" s="239" t="s">
        <v>281</v>
      </c>
      <c r="I40" s="240" t="s">
        <v>281</v>
      </c>
      <c r="J40" s="239" t="s">
        <v>281</v>
      </c>
      <c r="K40" s="240" t="s">
        <v>281</v>
      </c>
      <c r="L40" s="240" t="s">
        <v>281</v>
      </c>
      <c r="M40" s="239" t="s">
        <v>281</v>
      </c>
      <c r="N40" s="239" t="s">
        <v>281</v>
      </c>
      <c r="O40" s="81"/>
      <c r="P40" s="73"/>
      <c r="Q40" s="74"/>
      <c r="R40" s="74"/>
      <c r="S40" s="74"/>
      <c r="T40" s="74"/>
      <c r="U40" s="74"/>
      <c r="V40" s="74"/>
      <c r="W40" s="74"/>
      <c r="X40" s="74"/>
      <c r="Y40" s="74"/>
      <c r="Z40" s="74"/>
      <c r="AA40" s="74"/>
    </row>
    <row r="41" spans="1:27" ht="20.100000000000001" customHeight="1" x14ac:dyDescent="0.25">
      <c r="A41" s="74"/>
      <c r="B41" s="73"/>
      <c r="C41" s="78"/>
      <c r="D41" s="80"/>
      <c r="E41" s="95" t="s">
        <v>276</v>
      </c>
      <c r="F41" s="239" t="s">
        <v>280</v>
      </c>
      <c r="G41" s="239" t="s">
        <v>280</v>
      </c>
      <c r="H41" s="239" t="s">
        <v>280</v>
      </c>
      <c r="I41" s="240" t="s">
        <v>281</v>
      </c>
      <c r="J41" s="239" t="s">
        <v>281</v>
      </c>
      <c r="K41" s="240" t="s">
        <v>281</v>
      </c>
      <c r="L41" s="240" t="s">
        <v>281</v>
      </c>
      <c r="M41" s="239" t="s">
        <v>281</v>
      </c>
      <c r="N41" s="239" t="s">
        <v>281</v>
      </c>
      <c r="O41" s="81"/>
      <c r="P41" s="73"/>
      <c r="Q41" s="74"/>
      <c r="R41" s="74"/>
      <c r="S41" s="74"/>
      <c r="T41" s="74"/>
      <c r="U41" s="74"/>
      <c r="V41" s="74"/>
      <c r="W41" s="74"/>
      <c r="X41" s="74"/>
      <c r="Y41" s="74"/>
      <c r="Z41" s="74"/>
      <c r="AA41" s="74"/>
    </row>
    <row r="42" spans="1:27" ht="20.100000000000001" customHeight="1" x14ac:dyDescent="0.25">
      <c r="A42" s="74"/>
      <c r="B42" s="73"/>
      <c r="C42" s="78"/>
      <c r="D42" s="80"/>
      <c r="E42" s="95" t="s">
        <v>275</v>
      </c>
      <c r="F42" s="239" t="s">
        <v>280</v>
      </c>
      <c r="G42" s="239" t="s">
        <v>280</v>
      </c>
      <c r="H42" s="239" t="s">
        <v>280</v>
      </c>
      <c r="I42" s="240" t="s">
        <v>281</v>
      </c>
      <c r="J42" s="239" t="s">
        <v>280</v>
      </c>
      <c r="K42" s="240" t="s">
        <v>281</v>
      </c>
      <c r="L42" s="240" t="s">
        <v>281</v>
      </c>
      <c r="M42" s="239" t="s">
        <v>281</v>
      </c>
      <c r="N42" s="239" t="s">
        <v>281</v>
      </c>
      <c r="O42" s="81"/>
      <c r="P42" s="73"/>
      <c r="Q42" s="74"/>
      <c r="R42" s="74"/>
      <c r="S42" s="74"/>
      <c r="T42" s="74"/>
      <c r="U42" s="74"/>
      <c r="V42" s="74"/>
      <c r="W42" s="74"/>
      <c r="X42" s="74"/>
      <c r="Y42" s="74"/>
      <c r="Z42" s="74"/>
      <c r="AA42" s="74"/>
    </row>
    <row r="43" spans="1:27" ht="20.100000000000001" customHeight="1" x14ac:dyDescent="0.25">
      <c r="A43" s="74"/>
      <c r="B43" s="73"/>
      <c r="C43" s="78"/>
      <c r="D43" s="80"/>
      <c r="E43" s="95" t="s">
        <v>114</v>
      </c>
      <c r="F43" s="239" t="s">
        <v>280</v>
      </c>
      <c r="G43" s="239" t="s">
        <v>280</v>
      </c>
      <c r="H43" s="239" t="s">
        <v>280</v>
      </c>
      <c r="I43" s="240" t="s">
        <v>281</v>
      </c>
      <c r="J43" s="239" t="s">
        <v>280</v>
      </c>
      <c r="K43" s="240" t="s">
        <v>281</v>
      </c>
      <c r="L43" s="240" t="s">
        <v>281</v>
      </c>
      <c r="M43" s="239" t="s">
        <v>281</v>
      </c>
      <c r="N43" s="239" t="s">
        <v>281</v>
      </c>
      <c r="O43" s="81"/>
      <c r="P43" s="73"/>
      <c r="Q43" s="74"/>
      <c r="R43" s="74"/>
      <c r="S43" s="74"/>
      <c r="T43" s="74"/>
      <c r="U43" s="74"/>
      <c r="V43" s="74"/>
      <c r="W43" s="74"/>
      <c r="X43" s="74"/>
      <c r="Y43" s="74"/>
      <c r="Z43" s="74"/>
      <c r="AA43" s="74"/>
    </row>
    <row r="44" spans="1:27" ht="20.100000000000001" customHeight="1" x14ac:dyDescent="0.25">
      <c r="A44" s="74"/>
      <c r="B44" s="73"/>
      <c r="C44" s="78"/>
      <c r="D44" s="80"/>
      <c r="E44" s="95" t="s">
        <v>148</v>
      </c>
      <c r="F44" s="239" t="s">
        <v>280</v>
      </c>
      <c r="G44" s="239" t="s">
        <v>280</v>
      </c>
      <c r="H44" s="239" t="s">
        <v>280</v>
      </c>
      <c r="I44" s="240" t="s">
        <v>281</v>
      </c>
      <c r="J44" s="239" t="s">
        <v>281</v>
      </c>
      <c r="K44" s="240" t="s">
        <v>281</v>
      </c>
      <c r="L44" s="240" t="s">
        <v>281</v>
      </c>
      <c r="M44" s="239" t="s">
        <v>281</v>
      </c>
      <c r="N44" s="239" t="s">
        <v>281</v>
      </c>
      <c r="O44" s="81"/>
      <c r="P44" s="73"/>
      <c r="Q44" s="74"/>
      <c r="R44" s="74"/>
      <c r="S44" s="74"/>
      <c r="T44" s="74"/>
      <c r="U44" s="74"/>
      <c r="V44" s="74"/>
      <c r="W44" s="74"/>
      <c r="X44" s="74"/>
      <c r="Y44" s="74"/>
      <c r="Z44" s="74"/>
      <c r="AA44" s="74"/>
    </row>
    <row r="45" spans="1:27" ht="20.100000000000001" customHeight="1" x14ac:dyDescent="0.25">
      <c r="A45" s="74"/>
      <c r="B45" s="73"/>
      <c r="C45" s="78"/>
      <c r="D45" s="238"/>
      <c r="E45" s="80" t="s">
        <v>265</v>
      </c>
      <c r="F45" s="239" t="s">
        <v>280</v>
      </c>
      <c r="G45" s="239" t="s">
        <v>280</v>
      </c>
      <c r="H45" s="239" t="s">
        <v>280</v>
      </c>
      <c r="I45" s="240" t="s">
        <v>281</v>
      </c>
      <c r="J45" s="239" t="s">
        <v>281</v>
      </c>
      <c r="K45" s="240" t="s">
        <v>281</v>
      </c>
      <c r="L45" s="240" t="s">
        <v>281</v>
      </c>
      <c r="M45" s="239" t="s">
        <v>281</v>
      </c>
      <c r="N45" s="239" t="s">
        <v>281</v>
      </c>
      <c r="O45" s="81"/>
      <c r="P45" s="73"/>
      <c r="Q45" s="74"/>
      <c r="R45" s="74"/>
      <c r="S45" s="74"/>
      <c r="T45" s="74"/>
      <c r="U45" s="74"/>
      <c r="V45" s="74"/>
      <c r="W45" s="74"/>
      <c r="X45" s="74"/>
      <c r="Y45" s="74"/>
      <c r="Z45" s="74"/>
      <c r="AA45" s="74"/>
    </row>
    <row r="46" spans="1:27" ht="15.75" thickBot="1" x14ac:dyDescent="0.3">
      <c r="A46" s="74"/>
      <c r="B46" s="73"/>
      <c r="C46" s="84"/>
      <c r="D46" s="85"/>
      <c r="E46" s="85"/>
      <c r="F46" s="229"/>
      <c r="G46" s="229"/>
      <c r="H46" s="229"/>
      <c r="I46" s="229"/>
      <c r="J46" s="229"/>
      <c r="K46" s="229"/>
      <c r="L46" s="229"/>
      <c r="M46" s="229"/>
      <c r="N46" s="229"/>
      <c r="O46" s="86"/>
      <c r="P46" s="73"/>
      <c r="Q46" s="74"/>
      <c r="R46" s="74"/>
      <c r="S46" s="74"/>
      <c r="T46" s="74"/>
      <c r="U46" s="74"/>
      <c r="V46" s="74"/>
      <c r="W46" s="74"/>
      <c r="X46" s="74"/>
      <c r="Y46" s="74"/>
      <c r="Z46" s="74"/>
      <c r="AA46" s="74"/>
    </row>
    <row r="47" spans="1:27" ht="5.0999999999999996" customHeight="1" x14ac:dyDescent="0.25">
      <c r="A47" s="74"/>
      <c r="B47" s="73"/>
      <c r="C47" s="73"/>
      <c r="D47" s="73"/>
      <c r="E47" s="73"/>
      <c r="F47" s="227"/>
      <c r="G47" s="227"/>
      <c r="H47" s="227"/>
      <c r="I47" s="227"/>
      <c r="J47" s="227"/>
      <c r="K47" s="227"/>
      <c r="L47" s="227"/>
      <c r="M47" s="227"/>
      <c r="N47" s="227"/>
      <c r="O47" s="73"/>
      <c r="P47" s="73"/>
      <c r="Q47" s="74"/>
      <c r="R47" s="74"/>
      <c r="S47" s="74"/>
      <c r="T47" s="74"/>
      <c r="U47" s="74"/>
      <c r="V47" s="74"/>
      <c r="W47" s="74"/>
      <c r="X47" s="74"/>
      <c r="Y47" s="74"/>
      <c r="Z47" s="74"/>
      <c r="AA47" s="74"/>
    </row>
    <row r="48" spans="1:27" x14ac:dyDescent="0.25">
      <c r="A48" s="74"/>
      <c r="B48" s="74"/>
      <c r="C48" s="74"/>
      <c r="D48" s="74"/>
      <c r="E48" s="74"/>
      <c r="F48" s="226"/>
      <c r="G48" s="226"/>
      <c r="H48" s="226"/>
      <c r="I48" s="226"/>
      <c r="J48" s="226"/>
      <c r="K48" s="226"/>
      <c r="L48" s="226"/>
      <c r="M48" s="226"/>
      <c r="N48" s="226"/>
      <c r="O48" s="74"/>
      <c r="P48" s="74"/>
      <c r="Q48" s="74"/>
      <c r="R48" s="74"/>
      <c r="S48" s="74"/>
      <c r="T48" s="74"/>
      <c r="U48" s="74"/>
      <c r="V48" s="74"/>
      <c r="W48" s="74"/>
      <c r="X48" s="74"/>
      <c r="Y48" s="74"/>
      <c r="Z48" s="74"/>
      <c r="AA48" s="74"/>
    </row>
    <row r="49" spans="1:27" x14ac:dyDescent="0.25">
      <c r="A49" s="74"/>
      <c r="B49" s="74"/>
      <c r="C49" s="74"/>
      <c r="D49" s="74"/>
      <c r="E49" s="74"/>
      <c r="F49" s="226"/>
      <c r="G49" s="226"/>
      <c r="H49" s="226"/>
      <c r="I49" s="226"/>
      <c r="J49" s="226"/>
      <c r="K49" s="226"/>
      <c r="L49" s="226"/>
      <c r="M49" s="226"/>
      <c r="N49" s="226"/>
      <c r="O49" s="74"/>
      <c r="P49" s="74"/>
      <c r="Q49" s="74"/>
      <c r="R49" s="74"/>
      <c r="S49" s="74"/>
      <c r="T49" s="74"/>
      <c r="U49" s="74"/>
      <c r="V49" s="74"/>
      <c r="W49" s="74"/>
      <c r="X49" s="74"/>
      <c r="Y49" s="74"/>
      <c r="Z49" s="74"/>
      <c r="AA49" s="74"/>
    </row>
    <row r="50" spans="1:27" x14ac:dyDescent="0.25">
      <c r="A50" s="74"/>
      <c r="B50" s="74"/>
      <c r="C50" s="74"/>
      <c r="D50" s="74"/>
      <c r="E50" s="74"/>
      <c r="F50" s="226"/>
      <c r="G50" s="226"/>
      <c r="H50" s="226"/>
      <c r="I50" s="226"/>
      <c r="J50" s="226"/>
      <c r="K50" s="226"/>
      <c r="L50" s="226"/>
      <c r="M50" s="226"/>
      <c r="N50" s="226"/>
      <c r="O50" s="74"/>
      <c r="P50" s="74"/>
      <c r="Q50" s="74"/>
      <c r="R50" s="74"/>
      <c r="S50" s="74"/>
      <c r="T50" s="74"/>
      <c r="U50" s="74"/>
      <c r="V50" s="74"/>
      <c r="W50" s="74"/>
      <c r="X50" s="74"/>
      <c r="Y50" s="74"/>
      <c r="Z50" s="74"/>
      <c r="AA50" s="74"/>
    </row>
    <row r="51" spans="1:27" x14ac:dyDescent="0.25">
      <c r="A51" s="74"/>
      <c r="B51" s="74"/>
      <c r="C51" s="74"/>
      <c r="D51" s="74"/>
      <c r="E51" s="74"/>
      <c r="F51" s="226"/>
      <c r="G51" s="226"/>
      <c r="H51" s="226"/>
      <c r="I51" s="226"/>
      <c r="J51" s="226"/>
      <c r="K51" s="226"/>
      <c r="L51" s="226"/>
      <c r="M51" s="226"/>
      <c r="N51" s="226"/>
      <c r="O51" s="74"/>
      <c r="P51" s="74"/>
      <c r="Q51" s="74"/>
      <c r="R51" s="74"/>
      <c r="S51" s="74"/>
      <c r="T51" s="74"/>
      <c r="U51" s="74"/>
      <c r="V51" s="74"/>
      <c r="W51" s="74"/>
      <c r="X51" s="74"/>
      <c r="Y51" s="74"/>
      <c r="Z51" s="74"/>
      <c r="AA51" s="74"/>
    </row>
    <row r="52" spans="1:27" x14ac:dyDescent="0.25">
      <c r="A52" s="74"/>
      <c r="B52" s="74"/>
      <c r="C52" s="74"/>
      <c r="D52" s="74"/>
      <c r="E52" s="74"/>
      <c r="F52" s="226"/>
      <c r="G52" s="226"/>
      <c r="H52" s="226"/>
      <c r="I52" s="226"/>
      <c r="J52" s="226"/>
      <c r="K52" s="226"/>
      <c r="L52" s="226"/>
      <c r="M52" s="226"/>
      <c r="N52" s="226"/>
      <c r="O52" s="74"/>
      <c r="P52" s="74"/>
      <c r="Q52" s="74"/>
      <c r="R52" s="74"/>
      <c r="S52" s="74"/>
      <c r="T52" s="74"/>
      <c r="U52" s="74"/>
      <c r="V52" s="74"/>
      <c r="W52" s="74"/>
      <c r="X52" s="74"/>
      <c r="Y52" s="74"/>
      <c r="Z52" s="74"/>
      <c r="AA52" s="74"/>
    </row>
    <row r="53" spans="1:27" x14ac:dyDescent="0.25">
      <c r="A53" s="74"/>
      <c r="B53" s="74"/>
      <c r="C53" s="74"/>
      <c r="D53" s="74"/>
      <c r="E53" s="74"/>
      <c r="F53" s="226"/>
      <c r="G53" s="226"/>
      <c r="H53" s="226"/>
      <c r="I53" s="226"/>
      <c r="J53" s="226"/>
      <c r="K53" s="226"/>
      <c r="L53" s="226"/>
      <c r="M53" s="226"/>
      <c r="N53" s="226"/>
      <c r="O53" s="74"/>
      <c r="P53" s="74"/>
      <c r="Q53" s="74"/>
      <c r="R53" s="74"/>
      <c r="S53" s="74"/>
      <c r="T53" s="74"/>
      <c r="U53" s="74"/>
      <c r="V53" s="74"/>
      <c r="W53" s="74"/>
      <c r="X53" s="74"/>
      <c r="Y53" s="74"/>
      <c r="Z53" s="74"/>
      <c r="AA53" s="74"/>
    </row>
    <row r="54" spans="1:27" x14ac:dyDescent="0.25">
      <c r="A54" s="74"/>
      <c r="B54" s="74"/>
      <c r="C54" s="74"/>
      <c r="D54" s="74"/>
      <c r="E54" s="74"/>
      <c r="F54" s="226"/>
      <c r="G54" s="226"/>
      <c r="H54" s="226"/>
      <c r="I54" s="226"/>
      <c r="J54" s="226"/>
      <c r="K54" s="226"/>
      <c r="L54" s="226"/>
      <c r="M54" s="226"/>
      <c r="N54" s="226"/>
      <c r="O54" s="74"/>
      <c r="P54" s="74"/>
      <c r="Q54" s="74"/>
      <c r="R54" s="74"/>
      <c r="S54" s="74"/>
      <c r="T54" s="74"/>
      <c r="U54" s="74"/>
      <c r="V54" s="74"/>
      <c r="W54" s="74"/>
      <c r="X54" s="74"/>
      <c r="Y54" s="74"/>
      <c r="Z54" s="74"/>
      <c r="AA54" s="74"/>
    </row>
    <row r="55" spans="1:27" x14ac:dyDescent="0.25">
      <c r="A55" s="74"/>
      <c r="B55" s="74"/>
      <c r="C55" s="74"/>
      <c r="D55" s="74"/>
      <c r="E55" s="74"/>
      <c r="F55" s="226"/>
      <c r="G55" s="226"/>
      <c r="H55" s="226"/>
      <c r="I55" s="226"/>
      <c r="J55" s="226"/>
      <c r="K55" s="226"/>
      <c r="L55" s="226"/>
      <c r="M55" s="226"/>
      <c r="N55" s="226"/>
      <c r="O55" s="74"/>
      <c r="P55" s="74"/>
      <c r="Q55" s="74"/>
      <c r="R55" s="74"/>
      <c r="S55" s="74"/>
      <c r="T55" s="74"/>
      <c r="U55" s="74"/>
      <c r="V55" s="74"/>
      <c r="W55" s="74"/>
      <c r="X55" s="74"/>
      <c r="Y55" s="74"/>
      <c r="Z55" s="74"/>
      <c r="AA55" s="74"/>
    </row>
    <row r="56" spans="1:27" x14ac:dyDescent="0.25">
      <c r="A56" s="74"/>
      <c r="B56" s="74"/>
      <c r="C56" s="74"/>
      <c r="D56" s="74"/>
      <c r="E56" s="74"/>
      <c r="F56" s="226"/>
      <c r="G56" s="226"/>
      <c r="H56" s="226"/>
      <c r="I56" s="226"/>
      <c r="J56" s="226"/>
      <c r="K56" s="226"/>
      <c r="L56" s="226"/>
      <c r="M56" s="226"/>
      <c r="N56" s="226"/>
      <c r="O56" s="74"/>
      <c r="P56" s="74"/>
      <c r="Q56" s="74"/>
      <c r="R56" s="74"/>
      <c r="S56" s="74"/>
      <c r="T56" s="74"/>
      <c r="U56" s="74"/>
      <c r="V56" s="74"/>
      <c r="W56" s="74"/>
      <c r="X56" s="74"/>
      <c r="Y56" s="74"/>
      <c r="Z56" s="74"/>
      <c r="AA56" s="74"/>
    </row>
    <row r="57" spans="1:27" x14ac:dyDescent="0.25">
      <c r="A57" s="74"/>
      <c r="B57" s="74"/>
      <c r="C57" s="74"/>
      <c r="D57" s="74"/>
      <c r="E57" s="74"/>
      <c r="F57" s="226"/>
      <c r="G57" s="226"/>
      <c r="H57" s="226"/>
      <c r="I57" s="226"/>
      <c r="J57" s="226"/>
      <c r="K57" s="226"/>
      <c r="L57" s="226"/>
      <c r="M57" s="226"/>
      <c r="N57" s="226"/>
      <c r="O57" s="74"/>
      <c r="P57" s="74"/>
      <c r="Q57" s="74"/>
      <c r="R57" s="74"/>
      <c r="S57" s="74"/>
      <c r="T57" s="74"/>
      <c r="U57" s="74"/>
      <c r="V57" s="74"/>
      <c r="W57" s="74"/>
      <c r="X57" s="74"/>
      <c r="Y57" s="74"/>
      <c r="Z57" s="74"/>
      <c r="AA57" s="74"/>
    </row>
    <row r="58" spans="1:27" x14ac:dyDescent="0.25">
      <c r="A58" s="74"/>
      <c r="B58" s="74"/>
      <c r="C58" s="74"/>
      <c r="D58" s="74"/>
      <c r="E58" s="74"/>
      <c r="F58" s="226"/>
      <c r="G58" s="226"/>
      <c r="H58" s="226"/>
      <c r="I58" s="226"/>
      <c r="J58" s="226"/>
      <c r="K58" s="226"/>
      <c r="L58" s="226"/>
      <c r="M58" s="226"/>
      <c r="N58" s="226"/>
      <c r="O58" s="74"/>
      <c r="P58" s="74"/>
      <c r="Q58" s="74"/>
      <c r="R58" s="74"/>
      <c r="S58" s="74"/>
      <c r="T58" s="74"/>
      <c r="U58" s="74"/>
      <c r="V58" s="74"/>
      <c r="W58" s="74"/>
      <c r="X58" s="74"/>
      <c r="Y58" s="74"/>
      <c r="Z58" s="74"/>
      <c r="AA58" s="74"/>
    </row>
    <row r="59" spans="1:27" x14ac:dyDescent="0.25">
      <c r="A59" s="74"/>
      <c r="B59" s="74"/>
      <c r="C59" s="74"/>
      <c r="D59" s="74"/>
      <c r="E59" s="74"/>
      <c r="F59" s="226"/>
      <c r="G59" s="226"/>
      <c r="H59" s="226"/>
      <c r="I59" s="226"/>
      <c r="J59" s="226"/>
      <c r="K59" s="226"/>
      <c r="L59" s="226"/>
      <c r="M59" s="226"/>
      <c r="N59" s="226"/>
      <c r="O59" s="74"/>
      <c r="P59" s="74"/>
      <c r="Q59" s="74"/>
      <c r="R59" s="74"/>
      <c r="S59" s="74"/>
      <c r="T59" s="74"/>
      <c r="U59" s="74"/>
      <c r="V59" s="74"/>
      <c r="W59" s="74"/>
      <c r="X59" s="74"/>
      <c r="Y59" s="74"/>
      <c r="Z59" s="74"/>
      <c r="AA59" s="74"/>
    </row>
    <row r="60" spans="1:27" x14ac:dyDescent="0.25">
      <c r="A60" s="74"/>
      <c r="B60" s="74"/>
      <c r="C60" s="74"/>
      <c r="D60" s="74"/>
      <c r="E60" s="74"/>
      <c r="F60" s="226"/>
      <c r="G60" s="226"/>
      <c r="H60" s="226"/>
      <c r="I60" s="226"/>
      <c r="J60" s="226"/>
      <c r="K60" s="226"/>
      <c r="L60" s="226"/>
      <c r="M60" s="226"/>
      <c r="N60" s="226"/>
      <c r="O60" s="74"/>
      <c r="P60" s="74"/>
      <c r="Q60" s="74"/>
      <c r="R60" s="74"/>
      <c r="S60" s="74"/>
      <c r="T60" s="74"/>
      <c r="U60" s="74"/>
      <c r="V60" s="74"/>
      <c r="W60" s="74"/>
      <c r="X60" s="74"/>
      <c r="Y60" s="74"/>
      <c r="Z60" s="74"/>
      <c r="AA60" s="74"/>
    </row>
    <row r="61" spans="1:27" x14ac:dyDescent="0.25">
      <c r="A61" s="74"/>
      <c r="B61" s="74"/>
      <c r="C61" s="74"/>
      <c r="D61" s="74"/>
      <c r="E61" s="74"/>
      <c r="F61" s="226"/>
      <c r="G61" s="226"/>
      <c r="H61" s="226"/>
      <c r="I61" s="226"/>
      <c r="J61" s="226"/>
      <c r="K61" s="226"/>
      <c r="L61" s="226"/>
      <c r="M61" s="226"/>
      <c r="N61" s="226"/>
      <c r="O61" s="74"/>
      <c r="P61" s="74"/>
      <c r="Q61" s="74"/>
      <c r="R61" s="74"/>
      <c r="S61" s="74"/>
      <c r="T61" s="74"/>
      <c r="U61" s="74"/>
      <c r="V61" s="74"/>
      <c r="W61" s="74"/>
      <c r="X61" s="74"/>
      <c r="Y61" s="74"/>
      <c r="Z61" s="74"/>
      <c r="AA61" s="74"/>
    </row>
    <row r="62" spans="1:27" x14ac:dyDescent="0.25">
      <c r="A62" s="74"/>
      <c r="B62" s="74"/>
      <c r="C62" s="74"/>
      <c r="D62" s="74"/>
      <c r="E62" s="74"/>
      <c r="F62" s="226"/>
      <c r="G62" s="226"/>
      <c r="H62" s="226"/>
      <c r="I62" s="226"/>
      <c r="J62" s="226"/>
      <c r="K62" s="226"/>
      <c r="L62" s="226"/>
      <c r="M62" s="226"/>
      <c r="N62" s="226"/>
      <c r="O62" s="74"/>
      <c r="P62" s="74"/>
      <c r="Q62" s="74"/>
      <c r="R62" s="74"/>
      <c r="S62" s="74"/>
      <c r="T62" s="74"/>
      <c r="U62" s="74"/>
      <c r="V62" s="74"/>
      <c r="W62" s="74"/>
      <c r="X62" s="74"/>
      <c r="Y62" s="74"/>
      <c r="Z62" s="74"/>
      <c r="AA62" s="74"/>
    </row>
    <row r="63" spans="1:27" x14ac:dyDescent="0.25">
      <c r="A63" s="74"/>
      <c r="B63" s="74"/>
      <c r="C63" s="74"/>
      <c r="D63" s="74"/>
      <c r="E63" s="74"/>
      <c r="F63" s="226"/>
      <c r="G63" s="226"/>
      <c r="H63" s="226"/>
      <c r="I63" s="226"/>
      <c r="J63" s="226"/>
      <c r="K63" s="226"/>
      <c r="L63" s="226"/>
      <c r="M63" s="226"/>
      <c r="N63" s="226"/>
      <c r="O63" s="74"/>
      <c r="P63" s="74"/>
      <c r="Q63" s="74"/>
      <c r="R63" s="74"/>
      <c r="S63" s="74"/>
      <c r="T63" s="74"/>
      <c r="U63" s="74"/>
      <c r="V63" s="74"/>
      <c r="W63" s="74"/>
      <c r="X63" s="74"/>
      <c r="Y63" s="74"/>
      <c r="Z63" s="74"/>
      <c r="AA63" s="74"/>
    </row>
    <row r="64" spans="1:27" x14ac:dyDescent="0.25">
      <c r="A64" s="74"/>
      <c r="B64" s="74"/>
      <c r="C64" s="74"/>
      <c r="D64" s="74"/>
      <c r="E64" s="74"/>
      <c r="F64" s="226"/>
      <c r="G64" s="226"/>
      <c r="H64" s="226"/>
      <c r="I64" s="226"/>
      <c r="J64" s="226"/>
      <c r="K64" s="226"/>
      <c r="L64" s="226"/>
      <c r="M64" s="226"/>
      <c r="N64" s="226"/>
      <c r="O64" s="74"/>
      <c r="P64" s="74"/>
      <c r="Q64" s="74"/>
      <c r="R64" s="74"/>
      <c r="S64" s="74"/>
      <c r="T64" s="74"/>
      <c r="U64" s="74"/>
      <c r="V64" s="74"/>
      <c r="W64" s="74"/>
      <c r="X64" s="74"/>
      <c r="Y64" s="74"/>
      <c r="Z64" s="74"/>
      <c r="AA64" s="74"/>
    </row>
    <row r="65" spans="1:27" x14ac:dyDescent="0.25">
      <c r="A65" s="74"/>
      <c r="B65" s="74"/>
      <c r="C65" s="74"/>
      <c r="D65" s="74"/>
      <c r="E65" s="74"/>
      <c r="F65" s="226"/>
      <c r="G65" s="226"/>
      <c r="H65" s="226"/>
      <c r="I65" s="226"/>
      <c r="J65" s="226"/>
      <c r="K65" s="226"/>
      <c r="L65" s="226"/>
      <c r="M65" s="226"/>
      <c r="N65" s="226"/>
      <c r="O65" s="74"/>
      <c r="P65" s="74"/>
      <c r="Q65" s="74"/>
      <c r="R65" s="74"/>
      <c r="S65" s="74"/>
      <c r="T65" s="74"/>
      <c r="U65" s="74"/>
      <c r="V65" s="74"/>
      <c r="W65" s="74"/>
      <c r="X65" s="74"/>
      <c r="Y65" s="74"/>
      <c r="Z65" s="74"/>
      <c r="AA65" s="74"/>
    </row>
    <row r="66" spans="1:27" x14ac:dyDescent="0.25">
      <c r="A66" s="74"/>
      <c r="B66" s="74"/>
      <c r="C66" s="74"/>
      <c r="D66" s="74"/>
      <c r="E66" s="74"/>
      <c r="F66" s="226"/>
      <c r="G66" s="226"/>
      <c r="H66" s="226"/>
      <c r="I66" s="226"/>
      <c r="J66" s="226"/>
      <c r="K66" s="226"/>
      <c r="L66" s="226"/>
      <c r="M66" s="226"/>
      <c r="N66" s="226"/>
      <c r="O66" s="74"/>
      <c r="P66" s="74"/>
      <c r="Q66" s="74"/>
      <c r="R66" s="74"/>
      <c r="S66" s="74"/>
      <c r="T66" s="74"/>
      <c r="U66" s="74"/>
      <c r="V66" s="74"/>
      <c r="W66" s="74"/>
      <c r="X66" s="74"/>
      <c r="Y66" s="74"/>
      <c r="Z66" s="74"/>
      <c r="AA66" s="74"/>
    </row>
    <row r="67" spans="1:27" x14ac:dyDescent="0.25">
      <c r="A67" s="74"/>
      <c r="B67" s="74"/>
      <c r="C67" s="74"/>
      <c r="D67" s="74"/>
      <c r="E67" s="74"/>
      <c r="F67" s="226"/>
      <c r="G67" s="226"/>
      <c r="H67" s="226"/>
      <c r="I67" s="226"/>
      <c r="J67" s="226"/>
      <c r="K67" s="226"/>
      <c r="L67" s="226"/>
      <c r="M67" s="226"/>
      <c r="N67" s="226"/>
      <c r="O67" s="74"/>
      <c r="P67" s="74"/>
      <c r="Q67" s="74"/>
      <c r="R67" s="74"/>
      <c r="S67" s="74"/>
      <c r="T67" s="74"/>
      <c r="U67" s="74"/>
      <c r="V67" s="74"/>
      <c r="W67" s="74"/>
      <c r="X67" s="74"/>
      <c r="Y67" s="74"/>
      <c r="Z67" s="74"/>
      <c r="AA67" s="74"/>
    </row>
    <row r="68" spans="1:27" x14ac:dyDescent="0.25">
      <c r="A68" s="74"/>
      <c r="B68" s="74"/>
      <c r="C68" s="74"/>
      <c r="D68" s="74"/>
      <c r="E68" s="74"/>
      <c r="F68" s="226"/>
      <c r="G68" s="226"/>
      <c r="H68" s="226"/>
      <c r="I68" s="226"/>
      <c r="J68" s="226"/>
      <c r="K68" s="226"/>
      <c r="L68" s="226"/>
      <c r="M68" s="226"/>
      <c r="N68" s="226"/>
      <c r="O68" s="74"/>
      <c r="P68" s="74"/>
      <c r="Q68" s="74"/>
      <c r="R68" s="74"/>
      <c r="S68" s="74"/>
      <c r="T68" s="74"/>
      <c r="U68" s="74"/>
      <c r="V68" s="74"/>
      <c r="W68" s="74"/>
      <c r="X68" s="74"/>
      <c r="Y68" s="74"/>
      <c r="Z68" s="74"/>
      <c r="AA68" s="74"/>
    </row>
    <row r="69" spans="1:27" x14ac:dyDescent="0.25">
      <c r="A69" s="74"/>
      <c r="B69" s="74"/>
      <c r="C69" s="74"/>
      <c r="D69" s="74"/>
      <c r="E69" s="74"/>
      <c r="F69" s="226"/>
      <c r="G69" s="226"/>
      <c r="H69" s="226"/>
      <c r="I69" s="226"/>
      <c r="J69" s="226"/>
      <c r="K69" s="226"/>
      <c r="L69" s="226"/>
      <c r="M69" s="226"/>
      <c r="N69" s="226"/>
      <c r="O69" s="74"/>
      <c r="P69" s="74"/>
      <c r="Q69" s="74"/>
      <c r="R69" s="74"/>
      <c r="S69" s="74"/>
      <c r="T69" s="74"/>
      <c r="U69" s="74"/>
      <c r="V69" s="74"/>
      <c r="W69" s="74"/>
      <c r="X69" s="74"/>
      <c r="Y69" s="74"/>
      <c r="Z69" s="74"/>
      <c r="AA69" s="74"/>
    </row>
    <row r="70" spans="1:27" x14ac:dyDescent="0.25">
      <c r="A70" s="74"/>
      <c r="B70" s="74"/>
      <c r="C70" s="74"/>
      <c r="D70" s="74"/>
      <c r="E70" s="74"/>
      <c r="F70" s="226"/>
      <c r="G70" s="226"/>
      <c r="H70" s="226"/>
      <c r="I70" s="226"/>
      <c r="J70" s="226"/>
      <c r="K70" s="226"/>
      <c r="L70" s="226"/>
      <c r="M70" s="226"/>
      <c r="N70" s="226"/>
      <c r="O70" s="74"/>
      <c r="P70" s="74"/>
      <c r="Q70" s="74"/>
      <c r="R70" s="74"/>
      <c r="S70" s="74"/>
      <c r="T70" s="74"/>
      <c r="U70" s="74"/>
      <c r="V70" s="74"/>
      <c r="W70" s="74"/>
      <c r="X70" s="74"/>
      <c r="Y70" s="74"/>
      <c r="Z70" s="74"/>
      <c r="AA70" s="74"/>
    </row>
    <row r="71" spans="1:27" x14ac:dyDescent="0.25">
      <c r="A71" s="74"/>
      <c r="B71" s="74"/>
      <c r="C71" s="74"/>
      <c r="D71" s="74"/>
      <c r="E71" s="74"/>
      <c r="F71" s="226"/>
      <c r="G71" s="226"/>
      <c r="H71" s="226"/>
      <c r="I71" s="226"/>
      <c r="J71" s="226"/>
      <c r="K71" s="226"/>
      <c r="L71" s="226"/>
      <c r="M71" s="226"/>
      <c r="N71" s="226"/>
      <c r="O71" s="74"/>
      <c r="P71" s="74"/>
      <c r="Q71" s="74"/>
      <c r="R71" s="74"/>
      <c r="S71" s="74"/>
      <c r="T71" s="74"/>
      <c r="U71" s="74"/>
      <c r="V71" s="74"/>
      <c r="W71" s="74"/>
      <c r="X71" s="74"/>
      <c r="Y71" s="74"/>
      <c r="Z71" s="74"/>
      <c r="AA71" s="74"/>
    </row>
    <row r="72" spans="1:27" x14ac:dyDescent="0.25">
      <c r="A72" s="74"/>
    </row>
  </sheetData>
  <sheetProtection password="8E71" sheet="1" objects="1" scenarios="1"/>
  <pageMargins left="0.25" right="0.25" top="0.5" bottom="0.5" header="0.3" footer="0.3"/>
  <pageSetup scale="76" orientation="portrait" cellComments="asDisplayed" r:id="rId1"/>
  <headerFooter>
    <oddFooter>&amp;L&amp;10&amp;Z&amp;F&amp;R&amp;10Prepared &amp;D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outlinePr summaryBelow="0"/>
    <pageSetUpPr fitToPage="1"/>
  </sheetPr>
  <dimension ref="A1:V74"/>
  <sheetViews>
    <sheetView workbookViewId="0">
      <selection activeCell="E18" sqref="E18"/>
    </sheetView>
  </sheetViews>
  <sheetFormatPr defaultRowHeight="15" x14ac:dyDescent="0.25"/>
  <cols>
    <col min="1" max="1" width="1.7109375" customWidth="1"/>
    <col min="2" max="2" width="0.85546875" customWidth="1"/>
    <col min="3" max="3" width="4.28515625" customWidth="1"/>
    <col min="4" max="4" width="4.7109375" customWidth="1"/>
    <col min="5" max="5" width="46.140625" customWidth="1"/>
    <col min="6" max="8" width="12.5703125" customWidth="1"/>
    <col min="9" max="9" width="46.28515625" bestFit="1" customWidth="1"/>
    <col min="10" max="10" width="4.28515625" customWidth="1"/>
    <col min="11" max="11" width="0.85546875" customWidth="1"/>
    <col min="12" max="12" width="1.7109375" customWidth="1"/>
  </cols>
  <sheetData>
    <row r="1" spans="1:22" x14ac:dyDescent="0.25">
      <c r="A1" s="74"/>
      <c r="B1" s="74"/>
      <c r="C1" s="74"/>
      <c r="D1" s="74"/>
      <c r="E1" s="74"/>
      <c r="F1" s="74"/>
      <c r="G1" s="74"/>
      <c r="H1" s="74"/>
      <c r="I1" s="74"/>
      <c r="J1" s="74"/>
      <c r="K1" s="74"/>
      <c r="L1" s="74"/>
      <c r="M1" s="74"/>
      <c r="N1" s="74"/>
      <c r="O1" s="74"/>
      <c r="P1" s="74"/>
      <c r="Q1" s="74"/>
      <c r="R1" s="74"/>
      <c r="S1" s="74"/>
      <c r="T1" s="74"/>
      <c r="U1" s="74"/>
      <c r="V1" s="74"/>
    </row>
    <row r="2" spans="1:22" ht="5.0999999999999996" customHeight="1" x14ac:dyDescent="0.25">
      <c r="A2" s="74"/>
      <c r="B2" s="73"/>
      <c r="C2" s="73"/>
      <c r="D2" s="73"/>
      <c r="E2" s="73"/>
      <c r="F2" s="73"/>
      <c r="G2" s="73"/>
      <c r="H2" s="73"/>
      <c r="I2" s="73"/>
      <c r="J2" s="73"/>
      <c r="K2" s="73"/>
      <c r="L2" s="74"/>
      <c r="M2" s="74"/>
      <c r="N2" s="74"/>
      <c r="O2" s="74"/>
      <c r="P2" s="74"/>
      <c r="Q2" s="74"/>
      <c r="R2" s="74"/>
      <c r="S2" s="74"/>
      <c r="T2" s="74"/>
      <c r="U2" s="74"/>
      <c r="V2" s="74"/>
    </row>
    <row r="3" spans="1:22" ht="36.75" customHeight="1" x14ac:dyDescent="0.25">
      <c r="A3" s="74"/>
      <c r="B3" s="73"/>
      <c r="C3" s="78"/>
      <c r="D3" s="97" t="s">
        <v>218</v>
      </c>
      <c r="E3" s="97"/>
      <c r="F3" s="97" t="s">
        <v>217</v>
      </c>
      <c r="G3" s="97" t="s">
        <v>136</v>
      </c>
      <c r="H3" s="97" t="s">
        <v>219</v>
      </c>
      <c r="I3" s="80"/>
      <c r="J3" s="81"/>
      <c r="K3" s="73"/>
      <c r="L3" s="74"/>
      <c r="M3" s="74"/>
      <c r="N3" s="74"/>
      <c r="O3" s="74"/>
      <c r="P3" s="74"/>
      <c r="Q3" s="74"/>
      <c r="R3" s="74"/>
      <c r="S3" s="74"/>
      <c r="T3" s="74"/>
      <c r="U3" s="74"/>
      <c r="V3" s="74"/>
    </row>
    <row r="4" spans="1:22" ht="36.75" customHeight="1" x14ac:dyDescent="0.25">
      <c r="A4" s="74"/>
      <c r="B4" s="73"/>
      <c r="C4" s="78"/>
      <c r="D4" s="80"/>
      <c r="E4" s="80"/>
      <c r="F4" s="80"/>
      <c r="G4" s="80"/>
      <c r="H4" s="87">
        <f>ESTIMATOR!$Y$31-SUM(ESTIMATOR!$Y$26:$Y$30)</f>
        <v>0</v>
      </c>
      <c r="I4" s="87" t="s">
        <v>221</v>
      </c>
      <c r="J4" s="81"/>
      <c r="K4" s="73"/>
      <c r="L4" s="74"/>
      <c r="M4" s="74"/>
      <c r="N4" s="74"/>
      <c r="O4" s="74"/>
      <c r="P4" s="74"/>
      <c r="Q4" s="74"/>
      <c r="R4" s="74"/>
      <c r="S4" s="74"/>
      <c r="T4" s="74"/>
      <c r="U4" s="74"/>
      <c r="V4" s="74"/>
    </row>
    <row r="5" spans="1:22" ht="20.100000000000001" customHeight="1" x14ac:dyDescent="0.25">
      <c r="A5" s="74"/>
      <c r="B5" s="73"/>
      <c r="C5" s="78"/>
      <c r="D5" s="149">
        <v>1</v>
      </c>
      <c r="E5" s="95" t="s">
        <v>3</v>
      </c>
      <c r="F5" s="80">
        <v>2</v>
      </c>
      <c r="G5" s="87">
        <f>ESTIMATOR!Z51</f>
        <v>0</v>
      </c>
      <c r="H5" s="87">
        <f>H4-G5</f>
        <v>0</v>
      </c>
      <c r="I5" s="87"/>
      <c r="J5" s="81"/>
      <c r="K5" s="73"/>
      <c r="L5" s="74"/>
      <c r="M5" s="74"/>
      <c r="N5" s="74"/>
      <c r="O5" s="74"/>
      <c r="P5" s="74"/>
      <c r="Q5" s="74"/>
      <c r="R5" s="74"/>
      <c r="S5" s="74"/>
      <c r="T5" s="74"/>
      <c r="U5" s="74"/>
      <c r="V5" s="74"/>
    </row>
    <row r="6" spans="1:22" ht="20.100000000000001" customHeight="1" x14ac:dyDescent="0.25">
      <c r="A6" s="74"/>
      <c r="B6" s="73"/>
      <c r="C6" s="78"/>
      <c r="D6" s="149">
        <v>1</v>
      </c>
      <c r="E6" s="95" t="s">
        <v>4</v>
      </c>
      <c r="F6" s="80">
        <v>4</v>
      </c>
      <c r="G6" s="87">
        <f>ESTIMATOR!Z52+ESTIMATOR!Z53</f>
        <v>0</v>
      </c>
      <c r="H6" s="87">
        <f t="shared" ref="H6:H46" si="0">H5-G6</f>
        <v>0</v>
      </c>
      <c r="I6" s="87"/>
      <c r="J6" s="81"/>
      <c r="K6" s="73"/>
      <c r="L6" s="74"/>
      <c r="M6" s="74"/>
      <c r="N6" s="74"/>
      <c r="O6" s="74"/>
      <c r="P6" s="74"/>
      <c r="Q6" s="74"/>
      <c r="R6" s="74"/>
      <c r="S6" s="74"/>
      <c r="T6" s="74"/>
      <c r="U6" s="74"/>
      <c r="V6" s="74"/>
    </row>
    <row r="7" spans="1:22" ht="20.100000000000001" customHeight="1" x14ac:dyDescent="0.25">
      <c r="A7" s="74"/>
      <c r="B7" s="73"/>
      <c r="C7" s="78"/>
      <c r="D7" s="149">
        <v>2</v>
      </c>
      <c r="E7" s="95" t="s">
        <v>1</v>
      </c>
      <c r="F7" s="80">
        <v>7</v>
      </c>
      <c r="G7" s="87">
        <f>ESTIMATOR!Z49</f>
        <v>0</v>
      </c>
      <c r="H7" s="87">
        <f t="shared" si="0"/>
        <v>0</v>
      </c>
      <c r="I7" s="87"/>
      <c r="J7" s="81"/>
      <c r="K7" s="73"/>
      <c r="L7" s="74"/>
      <c r="M7" s="74"/>
      <c r="N7" s="74"/>
      <c r="O7" s="74"/>
      <c r="P7" s="74"/>
      <c r="Q7" s="74"/>
      <c r="R7" s="74"/>
      <c r="S7" s="74"/>
      <c r="T7" s="74"/>
      <c r="U7" s="74"/>
      <c r="V7" s="74"/>
    </row>
    <row r="8" spans="1:22" ht="20.100000000000001" customHeight="1" x14ac:dyDescent="0.25">
      <c r="A8" s="74"/>
      <c r="B8" s="73"/>
      <c r="C8" s="78"/>
      <c r="D8" s="149">
        <v>3</v>
      </c>
      <c r="E8" s="95" t="s">
        <v>2</v>
      </c>
      <c r="F8" s="80">
        <v>9</v>
      </c>
      <c r="G8" s="87">
        <f>ESTIMATOR!Z50</f>
        <v>0</v>
      </c>
      <c r="H8" s="87">
        <f t="shared" si="0"/>
        <v>0</v>
      </c>
      <c r="I8" s="87"/>
      <c r="J8" s="81"/>
      <c r="K8" s="73"/>
      <c r="L8" s="74"/>
      <c r="M8" s="74"/>
      <c r="N8" s="74"/>
      <c r="O8" s="74"/>
      <c r="P8" s="74"/>
      <c r="Q8" s="74"/>
      <c r="R8" s="74"/>
      <c r="S8" s="74"/>
      <c r="T8" s="74"/>
      <c r="U8" s="74"/>
      <c r="V8" s="74"/>
    </row>
    <row r="9" spans="1:22" ht="20.100000000000001" customHeight="1" x14ac:dyDescent="0.25">
      <c r="A9" s="74"/>
      <c r="B9" s="73"/>
      <c r="C9" s="78"/>
      <c r="D9" s="149">
        <v>1</v>
      </c>
      <c r="E9" s="95" t="s">
        <v>254</v>
      </c>
      <c r="F9" s="80">
        <v>14</v>
      </c>
      <c r="G9" s="87">
        <f>ESTIMATOR!Z60</f>
        <v>0</v>
      </c>
      <c r="H9" s="87">
        <f t="shared" si="0"/>
        <v>0</v>
      </c>
      <c r="I9" s="87"/>
      <c r="J9" s="81"/>
      <c r="K9" s="73"/>
      <c r="L9" s="74"/>
      <c r="M9" s="74"/>
      <c r="N9" s="74"/>
      <c r="O9" s="74"/>
      <c r="P9" s="74"/>
      <c r="Q9" s="74"/>
      <c r="R9" s="74"/>
      <c r="S9" s="74"/>
      <c r="T9" s="74"/>
      <c r="U9" s="74"/>
      <c r="V9" s="74"/>
    </row>
    <row r="10" spans="1:22" ht="20.100000000000001" customHeight="1" x14ac:dyDescent="0.25">
      <c r="A10" s="74"/>
      <c r="B10" s="73"/>
      <c r="C10" s="78"/>
      <c r="D10" s="149">
        <v>2</v>
      </c>
      <c r="E10" s="95" t="s">
        <v>162</v>
      </c>
      <c r="F10" s="80">
        <v>16</v>
      </c>
      <c r="G10" s="87">
        <f>ESTIMATOR!Z61</f>
        <v>0</v>
      </c>
      <c r="H10" s="87">
        <f t="shared" si="0"/>
        <v>0</v>
      </c>
      <c r="I10" s="87"/>
      <c r="J10" s="81"/>
      <c r="K10" s="73"/>
      <c r="L10" s="74"/>
      <c r="M10" s="74"/>
      <c r="N10" s="74"/>
      <c r="O10" s="74"/>
      <c r="P10" s="74"/>
      <c r="Q10" s="74"/>
      <c r="R10" s="74"/>
      <c r="S10" s="74"/>
      <c r="T10" s="74"/>
      <c r="U10" s="74"/>
      <c r="V10" s="74"/>
    </row>
    <row r="11" spans="1:22" ht="20.100000000000001" customHeight="1" x14ac:dyDescent="0.25">
      <c r="A11" s="74"/>
      <c r="B11" s="73"/>
      <c r="C11" s="78"/>
      <c r="D11" s="149">
        <v>5</v>
      </c>
      <c r="E11" s="95" t="s">
        <v>216</v>
      </c>
      <c r="F11" s="80">
        <v>18</v>
      </c>
      <c r="G11" s="87">
        <f>ESTIMATOR!Z59</f>
        <v>0</v>
      </c>
      <c r="H11" s="87">
        <f t="shared" si="0"/>
        <v>0</v>
      </c>
      <c r="I11" s="87"/>
      <c r="J11" s="81"/>
      <c r="K11" s="73"/>
      <c r="L11" s="74"/>
      <c r="M11" s="74"/>
      <c r="N11" s="74"/>
      <c r="O11" s="74"/>
      <c r="P11" s="74"/>
      <c r="Q11" s="74"/>
      <c r="R11" s="74"/>
      <c r="S11" s="74"/>
      <c r="T11" s="74"/>
      <c r="U11" s="74"/>
      <c r="V11" s="74"/>
    </row>
    <row r="12" spans="1:22" ht="20.100000000000001" customHeight="1" x14ac:dyDescent="0.25">
      <c r="A12" s="74"/>
      <c r="B12" s="73"/>
      <c r="C12" s="78"/>
      <c r="D12" s="149">
        <v>5</v>
      </c>
      <c r="E12" s="95" t="s">
        <v>215</v>
      </c>
      <c r="F12" s="80">
        <v>19</v>
      </c>
      <c r="G12" s="87">
        <f>ESTIMATOR!Z58</f>
        <v>0</v>
      </c>
      <c r="H12" s="87">
        <f t="shared" si="0"/>
        <v>0</v>
      </c>
      <c r="I12" s="87"/>
      <c r="J12" s="81"/>
      <c r="K12" s="73"/>
      <c r="L12" s="74"/>
      <c r="M12" s="74"/>
      <c r="N12" s="74"/>
      <c r="O12" s="74"/>
      <c r="P12" s="74"/>
      <c r="Q12" s="74"/>
      <c r="R12" s="74"/>
      <c r="S12" s="74"/>
      <c r="T12" s="74"/>
      <c r="U12" s="74"/>
      <c r="V12" s="74"/>
    </row>
    <row r="13" spans="1:22" ht="20.100000000000001" customHeight="1" x14ac:dyDescent="0.25">
      <c r="A13" s="74"/>
      <c r="B13" s="73"/>
      <c r="C13" s="78"/>
      <c r="D13" s="149">
        <v>3</v>
      </c>
      <c r="E13" s="95" t="s">
        <v>207</v>
      </c>
      <c r="F13" s="80">
        <v>20</v>
      </c>
      <c r="G13" s="87">
        <f>ESTIMATOR!Z63</f>
        <v>0</v>
      </c>
      <c r="H13" s="87">
        <f t="shared" si="0"/>
        <v>0</v>
      </c>
      <c r="I13" s="87"/>
      <c r="J13" s="81"/>
      <c r="K13" s="73"/>
      <c r="L13" s="74"/>
      <c r="M13" s="74"/>
      <c r="N13" s="74"/>
      <c r="O13" s="74"/>
      <c r="P13" s="74"/>
      <c r="Q13" s="74"/>
      <c r="R13" s="74"/>
      <c r="S13" s="74"/>
      <c r="T13" s="74"/>
      <c r="U13" s="74"/>
      <c r="V13" s="74"/>
    </row>
    <row r="14" spans="1:22" ht="20.100000000000001" customHeight="1" x14ac:dyDescent="0.25">
      <c r="A14" s="74"/>
      <c r="B14" s="73"/>
      <c r="C14" s="78"/>
      <c r="D14" s="149">
        <v>3</v>
      </c>
      <c r="E14" s="95" t="s">
        <v>163</v>
      </c>
      <c r="F14" s="80">
        <v>22</v>
      </c>
      <c r="G14" s="87">
        <f>ESTIMATOR!Z62</f>
        <v>0</v>
      </c>
      <c r="H14" s="87">
        <f t="shared" si="0"/>
        <v>0</v>
      </c>
      <c r="I14" s="87"/>
      <c r="J14" s="81"/>
      <c r="K14" s="73"/>
      <c r="L14" s="74"/>
      <c r="M14" s="74"/>
      <c r="N14" s="74"/>
      <c r="O14" s="74"/>
      <c r="P14" s="74"/>
      <c r="Q14" s="74"/>
      <c r="R14" s="74"/>
      <c r="S14" s="74"/>
      <c r="T14" s="74"/>
      <c r="U14" s="74"/>
      <c r="V14" s="74"/>
    </row>
    <row r="15" spans="1:22" ht="20.100000000000001" customHeight="1" x14ac:dyDescent="0.25">
      <c r="A15" s="74"/>
      <c r="B15" s="73"/>
      <c r="C15" s="78"/>
      <c r="D15" s="149">
        <v>4</v>
      </c>
      <c r="E15" s="95" t="s">
        <v>203</v>
      </c>
      <c r="F15" s="80">
        <v>24</v>
      </c>
      <c r="G15" s="87">
        <f>ESTIMATOR!Z64</f>
        <v>0</v>
      </c>
      <c r="H15" s="87">
        <f t="shared" si="0"/>
        <v>0</v>
      </c>
      <c r="I15" s="87"/>
      <c r="J15" s="81"/>
      <c r="K15" s="73"/>
      <c r="L15" s="74"/>
      <c r="M15" s="74"/>
      <c r="N15" s="74"/>
      <c r="O15" s="74"/>
      <c r="P15" s="74"/>
      <c r="Q15" s="74"/>
      <c r="R15" s="74"/>
      <c r="S15" s="74"/>
      <c r="T15" s="74"/>
      <c r="U15" s="74"/>
      <c r="V15" s="74"/>
    </row>
    <row r="16" spans="1:22" ht="20.100000000000001" customHeight="1" x14ac:dyDescent="0.25">
      <c r="A16" s="74"/>
      <c r="B16" s="73"/>
      <c r="C16" s="78"/>
      <c r="D16" s="149">
        <v>5</v>
      </c>
      <c r="E16" s="95" t="s">
        <v>208</v>
      </c>
      <c r="F16" s="80">
        <v>26</v>
      </c>
      <c r="G16" s="87">
        <f>ESTIMATOR!Z66</f>
        <v>0</v>
      </c>
      <c r="H16" s="87">
        <f t="shared" si="0"/>
        <v>0</v>
      </c>
      <c r="I16" s="87"/>
      <c r="J16" s="81"/>
      <c r="K16" s="73"/>
      <c r="L16" s="74"/>
      <c r="M16" s="74"/>
      <c r="N16" s="74"/>
      <c r="O16" s="74"/>
      <c r="P16" s="74"/>
      <c r="Q16" s="74"/>
      <c r="R16" s="74"/>
      <c r="S16" s="74"/>
      <c r="T16" s="74"/>
      <c r="U16" s="74"/>
      <c r="V16" s="74"/>
    </row>
    <row r="17" spans="1:22" ht="20.100000000000001" customHeight="1" x14ac:dyDescent="0.25">
      <c r="A17" s="74"/>
      <c r="B17" s="73"/>
      <c r="C17" s="78"/>
      <c r="D17" s="149">
        <v>5</v>
      </c>
      <c r="E17" s="95" t="s">
        <v>204</v>
      </c>
      <c r="F17" s="80">
        <v>28</v>
      </c>
      <c r="G17" s="87">
        <f>ESTIMATOR!Z65</f>
        <v>0</v>
      </c>
      <c r="H17" s="87">
        <f t="shared" si="0"/>
        <v>0</v>
      </c>
      <c r="I17" s="87"/>
      <c r="J17" s="81"/>
      <c r="K17" s="73"/>
      <c r="L17" s="74"/>
      <c r="M17" s="74"/>
      <c r="N17" s="74"/>
      <c r="O17" s="74"/>
      <c r="P17" s="74"/>
      <c r="Q17" s="74"/>
      <c r="R17" s="74"/>
      <c r="S17" s="74"/>
      <c r="T17" s="74"/>
      <c r="U17" s="74"/>
      <c r="V17" s="74"/>
    </row>
    <row r="18" spans="1:22" ht="20.100000000000001" customHeight="1" x14ac:dyDescent="0.25">
      <c r="A18" s="74"/>
      <c r="B18" s="73"/>
      <c r="C18" s="78"/>
      <c r="D18" s="149">
        <v>6</v>
      </c>
      <c r="E18" s="95" t="s">
        <v>209</v>
      </c>
      <c r="F18" s="80">
        <v>30</v>
      </c>
      <c r="G18" s="87">
        <f>ESTIMATOR!Z68</f>
        <v>0</v>
      </c>
      <c r="H18" s="87">
        <f t="shared" si="0"/>
        <v>0</v>
      </c>
      <c r="I18" s="87"/>
      <c r="J18" s="81"/>
      <c r="K18" s="73"/>
      <c r="L18" s="74"/>
      <c r="M18" s="74"/>
      <c r="N18" s="74"/>
      <c r="O18" s="74"/>
      <c r="P18" s="74"/>
      <c r="Q18" s="74"/>
      <c r="R18" s="74"/>
      <c r="S18" s="74"/>
      <c r="T18" s="74"/>
      <c r="U18" s="74"/>
      <c r="V18" s="74"/>
    </row>
    <row r="19" spans="1:22" ht="20.100000000000001" customHeight="1" x14ac:dyDescent="0.25">
      <c r="A19" s="74"/>
      <c r="B19" s="73"/>
      <c r="C19" s="78"/>
      <c r="D19" s="149">
        <v>7</v>
      </c>
      <c r="E19" s="95" t="s">
        <v>210</v>
      </c>
      <c r="F19" s="80">
        <v>32</v>
      </c>
      <c r="G19" s="87">
        <f>ESTIMATOR!Z69</f>
        <v>0</v>
      </c>
      <c r="H19" s="87">
        <f t="shared" si="0"/>
        <v>0</v>
      </c>
      <c r="I19" s="87"/>
      <c r="J19" s="81"/>
      <c r="K19" s="73"/>
      <c r="L19" s="74"/>
      <c r="M19" s="74"/>
      <c r="N19" s="74"/>
      <c r="O19" s="74"/>
      <c r="P19" s="74"/>
      <c r="Q19" s="74"/>
      <c r="R19" s="74"/>
      <c r="S19" s="74"/>
      <c r="T19" s="74"/>
      <c r="U19" s="74"/>
      <c r="V19" s="74"/>
    </row>
    <row r="20" spans="1:22" ht="20.100000000000001" customHeight="1" x14ac:dyDescent="0.25">
      <c r="A20" s="74"/>
      <c r="B20" s="73"/>
      <c r="C20" s="78"/>
      <c r="D20" s="149">
        <v>8</v>
      </c>
      <c r="E20" s="95" t="s">
        <v>211</v>
      </c>
      <c r="F20" s="80">
        <v>34</v>
      </c>
      <c r="G20" s="87">
        <f>ESTIMATOR!Z70</f>
        <v>0</v>
      </c>
      <c r="H20" s="87">
        <f t="shared" si="0"/>
        <v>0</v>
      </c>
      <c r="I20" s="87"/>
      <c r="J20" s="81"/>
      <c r="K20" s="73"/>
      <c r="L20" s="74"/>
      <c r="M20" s="74"/>
      <c r="N20" s="74"/>
      <c r="O20" s="74"/>
      <c r="P20" s="74"/>
      <c r="Q20" s="74"/>
      <c r="R20" s="74"/>
      <c r="S20" s="74"/>
      <c r="T20" s="74"/>
      <c r="U20" s="74"/>
      <c r="V20" s="74"/>
    </row>
    <row r="21" spans="1:22" ht="20.100000000000001" customHeight="1" x14ac:dyDescent="0.25">
      <c r="A21" s="74"/>
      <c r="B21" s="73"/>
      <c r="C21" s="78"/>
      <c r="D21" s="149">
        <v>9</v>
      </c>
      <c r="E21" s="95" t="s">
        <v>234</v>
      </c>
      <c r="F21" s="80">
        <v>38</v>
      </c>
      <c r="G21" s="87">
        <f>ESTIMATOR!Z72</f>
        <v>0</v>
      </c>
      <c r="H21" s="87">
        <f t="shared" si="0"/>
        <v>0</v>
      </c>
      <c r="I21" s="87"/>
      <c r="J21" s="81"/>
      <c r="K21" s="73"/>
      <c r="L21" s="74"/>
      <c r="M21" s="74"/>
      <c r="N21" s="74"/>
      <c r="O21" s="74"/>
      <c r="P21" s="74"/>
      <c r="Q21" s="74"/>
      <c r="R21" s="74"/>
      <c r="S21" s="74"/>
      <c r="T21" s="74"/>
      <c r="U21" s="74"/>
      <c r="V21" s="74"/>
    </row>
    <row r="22" spans="1:22" ht="20.100000000000001" customHeight="1" x14ac:dyDescent="0.25">
      <c r="A22" s="74"/>
      <c r="B22" s="73"/>
      <c r="C22" s="78"/>
      <c r="D22" s="149">
        <v>9</v>
      </c>
      <c r="E22" s="95" t="s">
        <v>229</v>
      </c>
      <c r="F22" s="80">
        <v>39</v>
      </c>
      <c r="G22" s="87">
        <f>ESTIMATOR!Z73</f>
        <v>0</v>
      </c>
      <c r="H22" s="87">
        <f t="shared" si="0"/>
        <v>0</v>
      </c>
      <c r="I22" s="87"/>
      <c r="J22" s="81"/>
      <c r="K22" s="73"/>
      <c r="L22" s="74"/>
      <c r="M22" s="74"/>
      <c r="N22" s="74"/>
      <c r="O22" s="74"/>
      <c r="P22" s="74"/>
      <c r="Q22" s="74"/>
      <c r="R22" s="74"/>
      <c r="S22" s="74"/>
      <c r="T22" s="74"/>
      <c r="U22" s="74"/>
      <c r="V22" s="74"/>
    </row>
    <row r="23" spans="1:22" ht="20.100000000000001" customHeight="1" x14ac:dyDescent="0.25">
      <c r="A23" s="74"/>
      <c r="B23" s="73"/>
      <c r="C23" s="78"/>
      <c r="D23" s="149">
        <v>9</v>
      </c>
      <c r="E23" s="95" t="s">
        <v>230</v>
      </c>
      <c r="F23" s="80">
        <v>40</v>
      </c>
      <c r="G23" s="87">
        <f>ESTIMATOR!Z74</f>
        <v>0</v>
      </c>
      <c r="H23" s="87">
        <f t="shared" si="0"/>
        <v>0</v>
      </c>
      <c r="I23" s="87"/>
      <c r="J23" s="81"/>
      <c r="K23" s="73"/>
      <c r="L23" s="74"/>
      <c r="M23" s="74"/>
      <c r="N23" s="74"/>
      <c r="O23" s="74"/>
      <c r="P23" s="74"/>
      <c r="Q23" s="74"/>
      <c r="R23" s="74"/>
      <c r="S23" s="74"/>
      <c r="T23" s="74"/>
      <c r="U23" s="74"/>
      <c r="V23" s="74"/>
    </row>
    <row r="24" spans="1:22" ht="20.100000000000001" customHeight="1" x14ac:dyDescent="0.25">
      <c r="A24" s="74"/>
      <c r="B24" s="73"/>
      <c r="C24" s="78"/>
      <c r="D24" s="149">
        <v>9</v>
      </c>
      <c r="E24" s="95" t="s">
        <v>231</v>
      </c>
      <c r="F24" s="80">
        <v>41</v>
      </c>
      <c r="G24" s="87">
        <f>ESTIMATOR!Z75</f>
        <v>0</v>
      </c>
      <c r="H24" s="87">
        <f t="shared" si="0"/>
        <v>0</v>
      </c>
      <c r="I24" s="87"/>
      <c r="J24" s="81"/>
      <c r="K24" s="73"/>
      <c r="L24" s="74"/>
      <c r="M24" s="74"/>
      <c r="N24" s="74"/>
      <c r="O24" s="74"/>
      <c r="P24" s="74"/>
      <c r="Q24" s="74"/>
      <c r="R24" s="74"/>
      <c r="S24" s="74"/>
      <c r="T24" s="74"/>
      <c r="U24" s="74"/>
      <c r="V24" s="74"/>
    </row>
    <row r="25" spans="1:22" ht="20.100000000000001" customHeight="1" x14ac:dyDescent="0.25">
      <c r="A25" s="74"/>
      <c r="B25" s="73"/>
      <c r="C25" s="78"/>
      <c r="D25" s="149">
        <v>9</v>
      </c>
      <c r="E25" s="95" t="s">
        <v>232</v>
      </c>
      <c r="F25" s="80">
        <v>42</v>
      </c>
      <c r="G25" s="87">
        <f>ESTIMATOR!Z76</f>
        <v>0</v>
      </c>
      <c r="H25" s="87">
        <f t="shared" si="0"/>
        <v>0</v>
      </c>
      <c r="I25" s="87"/>
      <c r="J25" s="81"/>
      <c r="K25" s="73"/>
      <c r="L25" s="74"/>
      <c r="M25" s="74"/>
      <c r="N25" s="74"/>
      <c r="O25" s="74"/>
      <c r="P25" s="74"/>
      <c r="Q25" s="74"/>
      <c r="R25" s="74"/>
      <c r="S25" s="74"/>
      <c r="T25" s="74"/>
      <c r="U25" s="74"/>
      <c r="V25" s="74"/>
    </row>
    <row r="26" spans="1:22" ht="20.100000000000001" customHeight="1" x14ac:dyDescent="0.25">
      <c r="A26" s="74"/>
      <c r="B26" s="73"/>
      <c r="C26" s="78"/>
      <c r="D26" s="149">
        <v>9</v>
      </c>
      <c r="E26" s="95" t="s">
        <v>233</v>
      </c>
      <c r="F26" s="80">
        <v>43</v>
      </c>
      <c r="G26" s="87">
        <f>ESTIMATOR!Z77</f>
        <v>0</v>
      </c>
      <c r="H26" s="87">
        <f t="shared" si="0"/>
        <v>0</v>
      </c>
      <c r="I26" s="87"/>
      <c r="J26" s="81"/>
      <c r="K26" s="73"/>
      <c r="L26" s="74"/>
      <c r="M26" s="74"/>
      <c r="N26" s="74"/>
      <c r="O26" s="74"/>
      <c r="P26" s="74"/>
      <c r="Q26" s="74"/>
      <c r="R26" s="74"/>
      <c r="S26" s="74"/>
      <c r="T26" s="74"/>
      <c r="U26" s="74"/>
      <c r="V26" s="74"/>
    </row>
    <row r="27" spans="1:22" ht="20.100000000000001" customHeight="1" x14ac:dyDescent="0.25">
      <c r="A27" s="74"/>
      <c r="B27" s="73"/>
      <c r="C27" s="78"/>
      <c r="D27" s="149">
        <v>1</v>
      </c>
      <c r="E27" s="95" t="s">
        <v>23</v>
      </c>
      <c r="F27" s="80">
        <v>78</v>
      </c>
      <c r="G27" s="87">
        <f>ESTIMATOR!Z34</f>
        <v>0</v>
      </c>
      <c r="H27" s="87">
        <f t="shared" si="0"/>
        <v>0</v>
      </c>
      <c r="I27" s="87"/>
      <c r="J27" s="81"/>
      <c r="K27" s="73"/>
      <c r="L27" s="74"/>
      <c r="M27" s="74"/>
      <c r="N27" s="74"/>
      <c r="O27" s="74"/>
      <c r="P27" s="74"/>
      <c r="Q27" s="74"/>
      <c r="R27" s="74"/>
      <c r="S27" s="74"/>
      <c r="T27" s="74"/>
      <c r="U27" s="74"/>
      <c r="V27" s="74"/>
    </row>
    <row r="28" spans="1:22" ht="20.100000000000001" customHeight="1" x14ac:dyDescent="0.25">
      <c r="A28" s="74"/>
      <c r="B28" s="73"/>
      <c r="C28" s="78"/>
      <c r="D28" s="149">
        <v>2</v>
      </c>
      <c r="E28" s="95" t="s">
        <v>474</v>
      </c>
      <c r="F28" s="80">
        <v>145</v>
      </c>
      <c r="G28" s="87">
        <f>ESTIMATOR!Z78</f>
        <v>0</v>
      </c>
      <c r="H28" s="87">
        <f t="shared" si="0"/>
        <v>0</v>
      </c>
      <c r="I28" s="87"/>
      <c r="J28" s="81"/>
      <c r="K28" s="73"/>
      <c r="L28" s="74"/>
      <c r="M28" s="74"/>
      <c r="N28" s="74"/>
      <c r="O28" s="74"/>
      <c r="P28" s="74"/>
      <c r="Q28" s="74"/>
      <c r="R28" s="74"/>
      <c r="S28" s="74"/>
      <c r="T28" s="74"/>
      <c r="U28" s="74"/>
      <c r="V28" s="74"/>
    </row>
    <row r="29" spans="1:22" ht="20.100000000000001" customHeight="1" x14ac:dyDescent="0.25">
      <c r="A29" s="74"/>
      <c r="B29" s="73"/>
      <c r="C29" s="78"/>
      <c r="D29" s="149">
        <v>2</v>
      </c>
      <c r="E29" s="95" t="s">
        <v>110</v>
      </c>
      <c r="F29" s="149">
        <v>157</v>
      </c>
      <c r="G29" s="87">
        <f>ESTIMATOR!Z37</f>
        <v>0</v>
      </c>
      <c r="H29" s="87">
        <f t="shared" si="0"/>
        <v>0</v>
      </c>
      <c r="I29" s="87"/>
      <c r="J29" s="81"/>
      <c r="K29" s="73"/>
      <c r="L29" s="74"/>
      <c r="M29" s="74"/>
      <c r="N29" s="74"/>
      <c r="O29" s="74"/>
      <c r="P29" s="74"/>
      <c r="Q29" s="74"/>
      <c r="R29" s="74"/>
      <c r="S29" s="74"/>
      <c r="T29" s="74"/>
      <c r="U29" s="74"/>
      <c r="V29" s="74"/>
    </row>
    <row r="30" spans="1:22" ht="20.100000000000001" customHeight="1" x14ac:dyDescent="0.25">
      <c r="A30" s="74"/>
      <c r="B30" s="73"/>
      <c r="C30" s="78"/>
      <c r="D30" s="149">
        <v>2</v>
      </c>
      <c r="E30" s="95" t="s">
        <v>273</v>
      </c>
      <c r="F30" s="80">
        <v>171</v>
      </c>
      <c r="G30" s="87">
        <f>ESTIMATOR!Z40</f>
        <v>0</v>
      </c>
      <c r="H30" s="87">
        <f t="shared" si="0"/>
        <v>0</v>
      </c>
      <c r="I30" s="87"/>
      <c r="J30" s="81"/>
      <c r="K30" s="73"/>
      <c r="L30" s="74"/>
      <c r="M30" s="74"/>
      <c r="N30" s="74"/>
      <c r="O30" s="74"/>
      <c r="P30" s="74"/>
      <c r="Q30" s="74"/>
      <c r="R30" s="74"/>
      <c r="S30" s="74"/>
      <c r="T30" s="74"/>
      <c r="U30" s="74"/>
      <c r="V30" s="74"/>
    </row>
    <row r="31" spans="1:22" ht="20.100000000000001" customHeight="1" x14ac:dyDescent="0.25">
      <c r="A31" s="74"/>
      <c r="B31" s="73"/>
      <c r="C31" s="78"/>
      <c r="D31" s="149">
        <v>2</v>
      </c>
      <c r="E31" s="95" t="s">
        <v>112</v>
      </c>
      <c r="F31" s="80">
        <v>173</v>
      </c>
      <c r="G31" s="87">
        <f>ESTIMATOR!Z39</f>
        <v>0</v>
      </c>
      <c r="H31" s="87">
        <f t="shared" si="0"/>
        <v>0</v>
      </c>
      <c r="I31" s="87"/>
      <c r="J31" s="81"/>
      <c r="K31" s="73"/>
      <c r="L31" s="74"/>
      <c r="M31" s="74"/>
      <c r="N31" s="74"/>
      <c r="O31" s="74"/>
      <c r="P31" s="74"/>
      <c r="Q31" s="74"/>
      <c r="R31" s="74"/>
      <c r="S31" s="74"/>
      <c r="T31" s="74"/>
      <c r="U31" s="74"/>
      <c r="V31" s="74"/>
    </row>
    <row r="32" spans="1:22" ht="20.100000000000001" customHeight="1" x14ac:dyDescent="0.25">
      <c r="A32" s="74"/>
      <c r="B32" s="73"/>
      <c r="C32" s="78"/>
      <c r="D32" s="149">
        <v>2</v>
      </c>
      <c r="E32" s="95" t="s">
        <v>131</v>
      </c>
      <c r="F32" s="80">
        <v>175</v>
      </c>
      <c r="G32" s="87">
        <f>ESTIMATOR!Z41</f>
        <v>0</v>
      </c>
      <c r="H32" s="87">
        <f t="shared" si="0"/>
        <v>0</v>
      </c>
      <c r="I32" s="87"/>
      <c r="J32" s="81"/>
      <c r="K32" s="73"/>
      <c r="L32" s="74"/>
      <c r="M32" s="74"/>
      <c r="N32" s="74"/>
      <c r="O32" s="74"/>
      <c r="P32" s="74"/>
      <c r="Q32" s="74"/>
      <c r="R32" s="74"/>
      <c r="S32" s="74"/>
      <c r="T32" s="74"/>
      <c r="U32" s="74"/>
      <c r="V32" s="74"/>
    </row>
    <row r="33" spans="1:22" ht="20.100000000000001" customHeight="1" x14ac:dyDescent="0.25">
      <c r="A33" s="74"/>
      <c r="B33" s="73"/>
      <c r="C33" s="78"/>
      <c r="D33" s="149">
        <v>2</v>
      </c>
      <c r="E33" s="95" t="s">
        <v>132</v>
      </c>
      <c r="F33" s="80">
        <v>176</v>
      </c>
      <c r="G33" s="87">
        <f>ESTIMATOR!Z80</f>
        <v>0</v>
      </c>
      <c r="H33" s="87">
        <f t="shared" si="0"/>
        <v>0</v>
      </c>
      <c r="I33" s="87"/>
      <c r="J33" s="81"/>
      <c r="K33" s="73"/>
      <c r="L33" s="74"/>
      <c r="M33" s="74"/>
      <c r="N33" s="74"/>
      <c r="O33" s="74"/>
      <c r="P33" s="74"/>
      <c r="Q33" s="74"/>
      <c r="R33" s="74"/>
      <c r="S33" s="74"/>
      <c r="T33" s="74"/>
      <c r="U33" s="74"/>
      <c r="V33" s="74"/>
    </row>
    <row r="34" spans="1:22" ht="20.100000000000001" customHeight="1" x14ac:dyDescent="0.25">
      <c r="A34" s="74"/>
      <c r="B34" s="73"/>
      <c r="C34" s="78"/>
      <c r="D34" s="149">
        <v>2</v>
      </c>
      <c r="E34" s="95" t="s">
        <v>115</v>
      </c>
      <c r="F34" s="80">
        <v>177</v>
      </c>
      <c r="G34" s="87">
        <f>ESTIMATOR!Z81</f>
        <v>0</v>
      </c>
      <c r="H34" s="87">
        <f t="shared" si="0"/>
        <v>0</v>
      </c>
      <c r="I34" s="87"/>
      <c r="J34" s="81"/>
      <c r="K34" s="73"/>
      <c r="L34" s="74"/>
      <c r="M34" s="74"/>
      <c r="N34" s="74"/>
      <c r="O34" s="74"/>
      <c r="P34" s="74"/>
      <c r="Q34" s="74"/>
      <c r="R34" s="74"/>
      <c r="S34" s="74"/>
      <c r="T34" s="74"/>
      <c r="U34" s="74"/>
      <c r="V34" s="74"/>
    </row>
    <row r="35" spans="1:22" ht="20.100000000000001" customHeight="1" x14ac:dyDescent="0.25">
      <c r="A35" s="74"/>
      <c r="B35" s="73"/>
      <c r="C35" s="78"/>
      <c r="D35" s="149">
        <v>2</v>
      </c>
      <c r="E35" s="95" t="s">
        <v>109</v>
      </c>
      <c r="F35" s="80">
        <v>178</v>
      </c>
      <c r="G35" s="87">
        <f>ESTIMATOR!Z36</f>
        <v>0</v>
      </c>
      <c r="H35" s="87">
        <f t="shared" si="0"/>
        <v>0</v>
      </c>
      <c r="I35" s="87"/>
      <c r="J35" s="81"/>
      <c r="K35" s="73"/>
      <c r="L35" s="74"/>
      <c r="M35" s="74"/>
      <c r="N35" s="74"/>
      <c r="O35" s="74"/>
      <c r="P35" s="74"/>
      <c r="Q35" s="74"/>
      <c r="R35" s="74"/>
      <c r="S35" s="74"/>
      <c r="T35" s="74"/>
      <c r="U35" s="74"/>
      <c r="V35" s="74"/>
    </row>
    <row r="36" spans="1:22" ht="20.100000000000001" customHeight="1" x14ac:dyDescent="0.25">
      <c r="A36" s="74"/>
      <c r="B36" s="73"/>
      <c r="C36" s="78"/>
      <c r="D36" s="149">
        <v>2</v>
      </c>
      <c r="E36" s="95" t="s">
        <v>113</v>
      </c>
      <c r="F36" s="80">
        <v>204</v>
      </c>
      <c r="G36" s="87">
        <f>ESTIMATOR!Z79</f>
        <v>0</v>
      </c>
      <c r="H36" s="87">
        <f t="shared" si="0"/>
        <v>0</v>
      </c>
      <c r="I36" s="87"/>
      <c r="J36" s="81"/>
      <c r="K36" s="73"/>
      <c r="L36" s="74"/>
      <c r="M36" s="74"/>
      <c r="N36" s="74"/>
      <c r="O36" s="74"/>
      <c r="P36" s="74"/>
      <c r="Q36" s="74"/>
      <c r="R36" s="74"/>
      <c r="S36" s="74"/>
      <c r="T36" s="74"/>
      <c r="U36" s="74"/>
      <c r="V36" s="74"/>
    </row>
    <row r="37" spans="1:22" ht="20.100000000000001" customHeight="1" x14ac:dyDescent="0.25">
      <c r="A37" s="74"/>
      <c r="B37" s="73"/>
      <c r="C37" s="78"/>
      <c r="D37" s="149">
        <v>3</v>
      </c>
      <c r="E37" s="95" t="s">
        <v>108</v>
      </c>
      <c r="F37" s="80">
        <v>211</v>
      </c>
      <c r="G37" s="87">
        <f>ESTIMATOR!Z35</f>
        <v>0</v>
      </c>
      <c r="H37" s="87">
        <f t="shared" si="0"/>
        <v>0</v>
      </c>
      <c r="I37" s="87"/>
      <c r="J37" s="81"/>
      <c r="K37" s="73"/>
      <c r="L37" s="74"/>
      <c r="M37" s="74"/>
      <c r="N37" s="74"/>
      <c r="O37" s="74"/>
      <c r="P37" s="74"/>
      <c r="Q37" s="74"/>
      <c r="R37" s="74"/>
      <c r="S37" s="74"/>
      <c r="T37" s="74"/>
      <c r="U37" s="74"/>
      <c r="V37" s="74"/>
    </row>
    <row r="38" spans="1:22" ht="20.100000000000001" customHeight="1" x14ac:dyDescent="0.25">
      <c r="A38" s="74"/>
      <c r="B38" s="73"/>
      <c r="C38" s="78"/>
      <c r="D38" s="149">
        <v>4</v>
      </c>
      <c r="E38" s="95" t="s">
        <v>111</v>
      </c>
      <c r="F38" s="80">
        <v>225</v>
      </c>
      <c r="G38" s="87">
        <f>ESTIMATOR!Z38</f>
        <v>0</v>
      </c>
      <c r="H38" s="87">
        <f t="shared" si="0"/>
        <v>0</v>
      </c>
      <c r="I38" s="87"/>
      <c r="J38" s="81"/>
      <c r="K38" s="73"/>
      <c r="L38" s="74"/>
      <c r="M38" s="74"/>
      <c r="N38" s="74"/>
      <c r="O38" s="74"/>
      <c r="P38" s="74"/>
      <c r="Q38" s="74"/>
      <c r="R38" s="74"/>
      <c r="S38" s="74"/>
      <c r="T38" s="74"/>
      <c r="U38" s="74"/>
      <c r="V38" s="74"/>
    </row>
    <row r="39" spans="1:22" ht="20.100000000000001" customHeight="1" x14ac:dyDescent="0.25">
      <c r="A39" s="74"/>
      <c r="B39" s="73"/>
      <c r="C39" s="78"/>
      <c r="D39" s="149">
        <v>9</v>
      </c>
      <c r="E39" s="95" t="s">
        <v>116</v>
      </c>
      <c r="F39" s="80">
        <v>230</v>
      </c>
      <c r="G39" s="87">
        <f>ESTIMATOR!Z83</f>
        <v>0</v>
      </c>
      <c r="H39" s="87">
        <f t="shared" si="0"/>
        <v>0</v>
      </c>
      <c r="I39" s="87"/>
      <c r="J39" s="81"/>
      <c r="K39" s="73"/>
      <c r="L39" s="74"/>
      <c r="M39" s="74"/>
      <c r="N39" s="74"/>
      <c r="O39" s="74"/>
      <c r="P39" s="74"/>
      <c r="Q39" s="74"/>
      <c r="R39" s="74"/>
      <c r="S39" s="74"/>
      <c r="T39" s="74"/>
      <c r="U39" s="74"/>
      <c r="V39" s="74"/>
    </row>
    <row r="40" spans="1:22" ht="20.100000000000001" customHeight="1" x14ac:dyDescent="0.25">
      <c r="A40" s="74"/>
      <c r="B40" s="73"/>
      <c r="C40" s="78"/>
      <c r="D40" s="149">
        <v>9</v>
      </c>
      <c r="E40" s="95" t="s">
        <v>117</v>
      </c>
      <c r="F40" s="80">
        <v>233</v>
      </c>
      <c r="G40" s="87">
        <f>ESTIMATOR!Z84</f>
        <v>0</v>
      </c>
      <c r="H40" s="87">
        <f t="shared" si="0"/>
        <v>0</v>
      </c>
      <c r="I40" s="87"/>
      <c r="J40" s="81"/>
      <c r="K40" s="73"/>
      <c r="L40" s="74"/>
      <c r="M40" s="74"/>
      <c r="N40" s="74"/>
      <c r="O40" s="74"/>
      <c r="P40" s="74"/>
      <c r="Q40" s="74"/>
      <c r="R40" s="74"/>
      <c r="S40" s="74"/>
      <c r="T40" s="74"/>
      <c r="U40" s="74"/>
      <c r="V40" s="74"/>
    </row>
    <row r="41" spans="1:22" ht="20.100000000000001" customHeight="1" x14ac:dyDescent="0.25">
      <c r="A41" s="74"/>
      <c r="B41" s="73"/>
      <c r="C41" s="78"/>
      <c r="D41" s="149">
        <v>9</v>
      </c>
      <c r="E41" s="95" t="s">
        <v>276</v>
      </c>
      <c r="F41" s="80">
        <v>262</v>
      </c>
      <c r="G41" s="87">
        <f>ESTIMATOR!Z45</f>
        <v>0</v>
      </c>
      <c r="H41" s="87">
        <f t="shared" si="0"/>
        <v>0</v>
      </c>
      <c r="I41" s="87"/>
      <c r="J41" s="81"/>
      <c r="K41" s="73"/>
      <c r="L41" s="74"/>
      <c r="M41" s="74"/>
      <c r="N41" s="74"/>
      <c r="O41" s="74"/>
      <c r="P41" s="74"/>
      <c r="Q41" s="74"/>
      <c r="R41" s="74"/>
      <c r="S41" s="74"/>
      <c r="T41" s="74"/>
      <c r="U41" s="74"/>
      <c r="V41" s="74"/>
    </row>
    <row r="42" spans="1:22" ht="20.100000000000001" customHeight="1" x14ac:dyDescent="0.25">
      <c r="A42" s="74"/>
      <c r="B42" s="73"/>
      <c r="C42" s="78"/>
      <c r="D42" s="149">
        <v>9</v>
      </c>
      <c r="E42" s="95" t="s">
        <v>114</v>
      </c>
      <c r="F42" s="80">
        <v>271</v>
      </c>
      <c r="G42" s="87">
        <f>ESTIMATOR!Z44</f>
        <v>0</v>
      </c>
      <c r="H42" s="87">
        <f t="shared" si="0"/>
        <v>0</v>
      </c>
      <c r="I42" s="87"/>
      <c r="J42" s="81"/>
      <c r="K42" s="73"/>
      <c r="L42" s="74"/>
      <c r="M42" s="74"/>
      <c r="N42" s="74"/>
      <c r="O42" s="74"/>
      <c r="P42" s="74"/>
      <c r="Q42" s="74"/>
      <c r="R42" s="74"/>
      <c r="S42" s="74"/>
      <c r="T42" s="74"/>
      <c r="U42" s="74"/>
      <c r="V42" s="74"/>
    </row>
    <row r="43" spans="1:22" ht="20.100000000000001" customHeight="1" x14ac:dyDescent="0.25">
      <c r="A43" s="74"/>
      <c r="B43" s="73"/>
      <c r="C43" s="78"/>
      <c r="D43" s="149">
        <v>9</v>
      </c>
      <c r="E43" s="95" t="s">
        <v>275</v>
      </c>
      <c r="F43" s="80">
        <v>272</v>
      </c>
      <c r="G43" s="87">
        <f>ESTIMATOR!Z45</f>
        <v>0</v>
      </c>
      <c r="H43" s="87">
        <f t="shared" si="0"/>
        <v>0</v>
      </c>
      <c r="I43" s="87"/>
      <c r="J43" s="81"/>
      <c r="K43" s="73"/>
      <c r="L43" s="74"/>
      <c r="M43" s="74"/>
      <c r="N43" s="74"/>
      <c r="O43" s="74"/>
      <c r="P43" s="74"/>
      <c r="Q43" s="74"/>
      <c r="R43" s="74"/>
      <c r="S43" s="74"/>
      <c r="T43" s="74"/>
      <c r="U43" s="74"/>
      <c r="V43" s="74"/>
    </row>
    <row r="44" spans="1:22" ht="20.100000000000001" customHeight="1" x14ac:dyDescent="0.25">
      <c r="A44" s="74"/>
      <c r="B44" s="73"/>
      <c r="C44" s="78"/>
      <c r="D44" s="149">
        <v>9</v>
      </c>
      <c r="E44" s="95" t="s">
        <v>148</v>
      </c>
      <c r="F44" s="80">
        <v>277</v>
      </c>
      <c r="G44" s="87">
        <f>ESTIMATOR!Z42</f>
        <v>0</v>
      </c>
      <c r="H44" s="87">
        <f t="shared" si="0"/>
        <v>0</v>
      </c>
      <c r="I44" s="87"/>
      <c r="J44" s="81"/>
      <c r="K44" s="73"/>
      <c r="L44" s="74"/>
      <c r="M44" s="74"/>
      <c r="N44" s="74"/>
      <c r="O44" s="74"/>
      <c r="P44" s="74"/>
      <c r="Q44" s="74"/>
      <c r="R44" s="74"/>
      <c r="S44" s="74"/>
      <c r="T44" s="74"/>
      <c r="U44" s="74"/>
      <c r="V44" s="74"/>
    </row>
    <row r="45" spans="1:22" ht="20.100000000000001" customHeight="1" x14ac:dyDescent="0.25">
      <c r="A45" s="74"/>
      <c r="B45" s="73"/>
      <c r="C45" s="78"/>
      <c r="D45" s="149">
        <v>8</v>
      </c>
      <c r="E45" s="95" t="s">
        <v>265</v>
      </c>
      <c r="F45" s="80">
        <v>278</v>
      </c>
      <c r="G45" s="87">
        <f>ESTIMATOR!Z82</f>
        <v>0</v>
      </c>
      <c r="H45" s="87">
        <f t="shared" si="0"/>
        <v>0</v>
      </c>
      <c r="I45" s="87"/>
      <c r="J45" s="81"/>
      <c r="K45" s="73"/>
      <c r="L45" s="74"/>
      <c r="M45" s="74"/>
      <c r="N45" s="74"/>
      <c r="O45" s="74"/>
      <c r="P45" s="74"/>
      <c r="Q45" s="74"/>
      <c r="R45" s="74"/>
      <c r="S45" s="74"/>
      <c r="T45" s="74"/>
      <c r="U45" s="74"/>
      <c r="V45" s="74"/>
    </row>
    <row r="46" spans="1:22" ht="20.100000000000001" customHeight="1" x14ac:dyDescent="0.25">
      <c r="A46" s="74"/>
      <c r="B46" s="73"/>
      <c r="C46" s="78"/>
      <c r="D46" s="222">
        <v>8</v>
      </c>
      <c r="E46" s="80" t="s">
        <v>277</v>
      </c>
      <c r="F46" s="231">
        <v>280</v>
      </c>
      <c r="G46" s="87">
        <f>ESTIMATOR!Z43</f>
        <v>0</v>
      </c>
      <c r="H46" s="87">
        <f t="shared" si="0"/>
        <v>0</v>
      </c>
      <c r="I46" s="236" t="s">
        <v>220</v>
      </c>
      <c r="J46" s="81"/>
      <c r="K46" s="73"/>
      <c r="L46" s="74"/>
      <c r="M46" s="74"/>
      <c r="N46" s="74"/>
      <c r="O46" s="74"/>
      <c r="P46" s="74"/>
      <c r="Q46" s="74"/>
      <c r="R46" s="74"/>
      <c r="S46" s="74"/>
      <c r="T46" s="74"/>
      <c r="U46" s="74"/>
      <c r="V46" s="74"/>
    </row>
    <row r="47" spans="1:22" ht="20.100000000000001" customHeight="1" thickBot="1" x14ac:dyDescent="0.3">
      <c r="A47" s="74"/>
      <c r="B47" s="73"/>
      <c r="C47" s="78"/>
      <c r="D47" s="80"/>
      <c r="E47" s="80"/>
      <c r="F47" s="80"/>
      <c r="G47" s="87"/>
      <c r="H47" s="223">
        <f>H46</f>
        <v>0</v>
      </c>
      <c r="I47" s="87" t="s">
        <v>278</v>
      </c>
      <c r="J47" s="81"/>
      <c r="K47" s="73"/>
      <c r="L47" s="74"/>
      <c r="M47" s="74"/>
      <c r="N47" s="74"/>
      <c r="O47" s="74"/>
      <c r="P47" s="74"/>
      <c r="Q47" s="74"/>
      <c r="R47" s="74"/>
      <c r="S47" s="74"/>
      <c r="T47" s="74"/>
      <c r="U47" s="74"/>
      <c r="V47" s="74"/>
    </row>
    <row r="48" spans="1:22" ht="16.5" thickTop="1" thickBot="1" x14ac:dyDescent="0.3">
      <c r="A48" s="74"/>
      <c r="B48" s="73"/>
      <c r="C48" s="84"/>
      <c r="D48" s="85"/>
      <c r="E48" s="85"/>
      <c r="F48" s="85"/>
      <c r="G48" s="85"/>
      <c r="H48" s="85"/>
      <c r="I48" s="85"/>
      <c r="J48" s="86"/>
      <c r="K48" s="73"/>
      <c r="L48" s="74"/>
      <c r="M48" s="74"/>
      <c r="N48" s="74"/>
      <c r="O48" s="74"/>
      <c r="P48" s="74"/>
      <c r="Q48" s="74"/>
      <c r="R48" s="74"/>
      <c r="S48" s="74"/>
      <c r="T48" s="74"/>
      <c r="U48" s="74"/>
      <c r="V48" s="74"/>
    </row>
    <row r="49" spans="1:22" ht="5.0999999999999996" customHeight="1" x14ac:dyDescent="0.25">
      <c r="A49" s="74"/>
      <c r="B49" s="73"/>
      <c r="C49" s="73"/>
      <c r="D49" s="73"/>
      <c r="E49" s="73"/>
      <c r="F49" s="73"/>
      <c r="G49" s="73"/>
      <c r="H49" s="73"/>
      <c r="I49" s="73"/>
      <c r="J49" s="73"/>
      <c r="K49" s="73"/>
      <c r="L49" s="74"/>
      <c r="M49" s="74"/>
      <c r="N49" s="74"/>
      <c r="O49" s="74"/>
      <c r="P49" s="74"/>
      <c r="Q49" s="74"/>
      <c r="R49" s="74"/>
      <c r="S49" s="74"/>
      <c r="T49" s="74"/>
      <c r="U49" s="74"/>
      <c r="V49" s="74"/>
    </row>
    <row r="50" spans="1:22" x14ac:dyDescent="0.25">
      <c r="A50" s="74"/>
      <c r="B50" s="74"/>
      <c r="C50" s="74"/>
      <c r="D50" s="74"/>
      <c r="E50" s="74"/>
      <c r="F50" s="74"/>
      <c r="G50" s="74"/>
      <c r="H50" s="74"/>
      <c r="I50" s="74"/>
      <c r="J50" s="74"/>
      <c r="K50" s="74"/>
      <c r="L50" s="74"/>
      <c r="M50" s="74"/>
      <c r="N50" s="74"/>
      <c r="O50" s="74"/>
      <c r="P50" s="74"/>
      <c r="Q50" s="74"/>
      <c r="R50" s="74"/>
      <c r="S50" s="74"/>
      <c r="T50" s="74"/>
      <c r="U50" s="74"/>
      <c r="V50" s="74"/>
    </row>
    <row r="51" spans="1:22" x14ac:dyDescent="0.25">
      <c r="A51" s="74"/>
      <c r="B51" s="74"/>
      <c r="C51" s="74"/>
      <c r="D51" s="74"/>
      <c r="E51" s="74"/>
      <c r="F51" s="74"/>
      <c r="G51" s="74"/>
      <c r="H51" s="74"/>
      <c r="I51" s="74"/>
      <c r="J51" s="74"/>
      <c r="K51" s="74"/>
      <c r="L51" s="74"/>
      <c r="M51" s="74"/>
      <c r="N51" s="74"/>
      <c r="O51" s="74"/>
      <c r="P51" s="74"/>
      <c r="Q51" s="74"/>
      <c r="R51" s="74"/>
      <c r="S51" s="74"/>
      <c r="T51" s="74"/>
      <c r="U51" s="74"/>
      <c r="V51" s="74"/>
    </row>
    <row r="52" spans="1:22" x14ac:dyDescent="0.25">
      <c r="A52" s="74"/>
      <c r="B52" s="74"/>
      <c r="C52" s="74"/>
      <c r="D52" s="74"/>
      <c r="E52" s="74"/>
      <c r="F52" s="74"/>
      <c r="G52" s="74"/>
      <c r="H52" s="74"/>
      <c r="I52" s="74"/>
      <c r="J52" s="74"/>
      <c r="K52" s="74"/>
      <c r="L52" s="74"/>
      <c r="M52" s="74"/>
      <c r="N52" s="74"/>
      <c r="O52" s="74"/>
      <c r="P52" s="74"/>
      <c r="Q52" s="74"/>
      <c r="R52" s="74"/>
      <c r="S52" s="74"/>
      <c r="T52" s="74"/>
      <c r="U52" s="74"/>
      <c r="V52" s="74"/>
    </row>
    <row r="53" spans="1:22" x14ac:dyDescent="0.25">
      <c r="A53" s="74"/>
      <c r="B53" s="74"/>
      <c r="C53" s="74"/>
      <c r="D53" s="74"/>
      <c r="E53" s="74"/>
      <c r="F53" s="74"/>
      <c r="G53" s="74"/>
      <c r="H53" s="74"/>
      <c r="I53" s="74"/>
      <c r="J53" s="74"/>
      <c r="K53" s="74"/>
      <c r="L53" s="74"/>
      <c r="M53" s="74"/>
      <c r="N53" s="74"/>
      <c r="O53" s="74"/>
      <c r="P53" s="74"/>
      <c r="Q53" s="74"/>
      <c r="R53" s="74"/>
      <c r="S53" s="74"/>
      <c r="T53" s="74"/>
      <c r="U53" s="74"/>
      <c r="V53" s="74"/>
    </row>
    <row r="54" spans="1:22" x14ac:dyDescent="0.25">
      <c r="A54" s="74"/>
      <c r="B54" s="74"/>
      <c r="C54" s="74"/>
      <c r="D54" s="74"/>
      <c r="E54" s="74"/>
      <c r="F54" s="74"/>
      <c r="G54" s="74"/>
      <c r="H54" s="74"/>
      <c r="I54" s="74"/>
      <c r="J54" s="74"/>
      <c r="K54" s="74"/>
      <c r="L54" s="74"/>
      <c r="M54" s="74"/>
      <c r="N54" s="74"/>
      <c r="O54" s="74"/>
      <c r="P54" s="74"/>
      <c r="Q54" s="74"/>
      <c r="R54" s="74"/>
      <c r="S54" s="74"/>
      <c r="T54" s="74"/>
      <c r="U54" s="74"/>
      <c r="V54" s="74"/>
    </row>
    <row r="55" spans="1:22" x14ac:dyDescent="0.25">
      <c r="A55" s="74"/>
      <c r="B55" s="74"/>
      <c r="C55" s="74"/>
      <c r="D55" s="74"/>
      <c r="E55" s="74"/>
      <c r="F55" s="74"/>
      <c r="G55" s="74"/>
      <c r="H55" s="74"/>
      <c r="I55" s="74"/>
      <c r="J55" s="74"/>
      <c r="K55" s="74"/>
      <c r="L55" s="74"/>
      <c r="M55" s="74"/>
      <c r="N55" s="74"/>
      <c r="O55" s="74"/>
      <c r="P55" s="74"/>
      <c r="Q55" s="74"/>
      <c r="R55" s="74"/>
      <c r="S55" s="74"/>
      <c r="T55" s="74"/>
      <c r="U55" s="74"/>
      <c r="V55" s="74"/>
    </row>
    <row r="56" spans="1:22" x14ac:dyDescent="0.25">
      <c r="A56" s="74"/>
      <c r="B56" s="74"/>
      <c r="C56" s="74"/>
      <c r="D56" s="74"/>
      <c r="E56" s="74"/>
      <c r="F56" s="74"/>
      <c r="G56" s="74"/>
      <c r="H56" s="74"/>
      <c r="I56" s="74"/>
      <c r="J56" s="74"/>
      <c r="K56" s="74"/>
      <c r="L56" s="74"/>
      <c r="M56" s="74"/>
      <c r="N56" s="74"/>
      <c r="O56" s="74"/>
      <c r="P56" s="74"/>
      <c r="Q56" s="74"/>
      <c r="R56" s="74"/>
      <c r="S56" s="74"/>
      <c r="T56" s="74"/>
      <c r="U56" s="74"/>
      <c r="V56" s="74"/>
    </row>
    <row r="57" spans="1:22" x14ac:dyDescent="0.25">
      <c r="A57" s="74"/>
      <c r="B57" s="74"/>
      <c r="C57" s="74"/>
      <c r="D57" s="74"/>
      <c r="E57" s="74"/>
      <c r="F57" s="74"/>
      <c r="G57" s="74"/>
      <c r="H57" s="74"/>
      <c r="I57" s="74"/>
      <c r="J57" s="74"/>
      <c r="K57" s="74"/>
      <c r="L57" s="74"/>
      <c r="M57" s="74"/>
      <c r="N57" s="74"/>
      <c r="O57" s="74"/>
      <c r="P57" s="74"/>
      <c r="Q57" s="74"/>
      <c r="R57" s="74"/>
      <c r="S57" s="74"/>
      <c r="T57" s="74"/>
      <c r="U57" s="74"/>
      <c r="V57" s="74"/>
    </row>
    <row r="58" spans="1:22" x14ac:dyDescent="0.25">
      <c r="A58" s="74"/>
      <c r="B58" s="74"/>
      <c r="C58" s="74"/>
      <c r="D58" s="74"/>
      <c r="E58" s="74"/>
      <c r="F58" s="74"/>
      <c r="G58" s="74"/>
      <c r="H58" s="74"/>
      <c r="I58" s="74"/>
      <c r="J58" s="74"/>
      <c r="K58" s="74"/>
      <c r="L58" s="74"/>
      <c r="M58" s="74"/>
      <c r="N58" s="74"/>
      <c r="O58" s="74"/>
      <c r="P58" s="74"/>
      <c r="Q58" s="74"/>
      <c r="R58" s="74"/>
      <c r="S58" s="74"/>
      <c r="T58" s="74"/>
      <c r="U58" s="74"/>
      <c r="V58" s="74"/>
    </row>
    <row r="59" spans="1:22" x14ac:dyDescent="0.25">
      <c r="A59" s="74"/>
      <c r="B59" s="74"/>
      <c r="C59" s="74"/>
      <c r="D59" s="74"/>
      <c r="E59" s="74"/>
      <c r="F59" s="74"/>
      <c r="G59" s="74"/>
      <c r="H59" s="74"/>
      <c r="I59" s="74"/>
      <c r="J59" s="74"/>
      <c r="K59" s="74"/>
      <c r="L59" s="74"/>
      <c r="M59" s="74"/>
      <c r="N59" s="74"/>
      <c r="O59" s="74"/>
      <c r="P59" s="74"/>
      <c r="Q59" s="74"/>
      <c r="R59" s="74"/>
      <c r="S59" s="74"/>
      <c r="T59" s="74"/>
      <c r="U59" s="74"/>
      <c r="V59" s="74"/>
    </row>
    <row r="60" spans="1:22" x14ac:dyDescent="0.25">
      <c r="A60" s="74"/>
      <c r="B60" s="74"/>
      <c r="C60" s="74"/>
      <c r="D60" s="74"/>
      <c r="E60" s="74"/>
      <c r="F60" s="74"/>
      <c r="G60" s="74"/>
      <c r="H60" s="74"/>
      <c r="I60" s="74"/>
      <c r="J60" s="74"/>
      <c r="K60" s="74"/>
      <c r="L60" s="74"/>
      <c r="M60" s="74"/>
      <c r="N60" s="74"/>
      <c r="O60" s="74"/>
      <c r="P60" s="74"/>
      <c r="Q60" s="74"/>
      <c r="R60" s="74"/>
      <c r="S60" s="74"/>
      <c r="T60" s="74"/>
      <c r="U60" s="74"/>
      <c r="V60" s="74"/>
    </row>
    <row r="61" spans="1:22" x14ac:dyDescent="0.25">
      <c r="A61" s="74"/>
      <c r="B61" s="74"/>
      <c r="C61" s="74"/>
      <c r="D61" s="74"/>
      <c r="E61" s="74"/>
      <c r="F61" s="74"/>
      <c r="G61" s="74"/>
      <c r="H61" s="74"/>
      <c r="I61" s="74"/>
      <c r="J61" s="74"/>
      <c r="K61" s="74"/>
      <c r="L61" s="74"/>
      <c r="M61" s="74"/>
      <c r="N61" s="74"/>
      <c r="O61" s="74"/>
      <c r="P61" s="74"/>
      <c r="Q61" s="74"/>
      <c r="R61" s="74"/>
      <c r="S61" s="74"/>
      <c r="T61" s="74"/>
      <c r="U61" s="74"/>
      <c r="V61" s="74"/>
    </row>
    <row r="62" spans="1:22" x14ac:dyDescent="0.25">
      <c r="A62" s="74"/>
      <c r="B62" s="74"/>
      <c r="C62" s="74"/>
      <c r="D62" s="74"/>
      <c r="E62" s="74"/>
      <c r="F62" s="74"/>
      <c r="G62" s="74"/>
      <c r="H62" s="74"/>
      <c r="I62" s="74"/>
      <c r="J62" s="74"/>
      <c r="K62" s="74"/>
      <c r="L62" s="74"/>
      <c r="M62" s="74"/>
      <c r="N62" s="74"/>
      <c r="O62" s="74"/>
      <c r="P62" s="74"/>
      <c r="Q62" s="74"/>
      <c r="R62" s="74"/>
      <c r="S62" s="74"/>
      <c r="T62" s="74"/>
      <c r="U62" s="74"/>
      <c r="V62" s="74"/>
    </row>
    <row r="63" spans="1:22" x14ac:dyDescent="0.25">
      <c r="A63" s="74"/>
      <c r="B63" s="74"/>
      <c r="C63" s="74"/>
      <c r="D63" s="74"/>
      <c r="E63" s="74"/>
      <c r="F63" s="74"/>
      <c r="G63" s="74"/>
      <c r="H63" s="74"/>
      <c r="I63" s="74"/>
      <c r="J63" s="74"/>
      <c r="K63" s="74"/>
      <c r="L63" s="74"/>
      <c r="M63" s="74"/>
      <c r="N63" s="74"/>
      <c r="O63" s="74"/>
      <c r="P63" s="74"/>
      <c r="Q63" s="74"/>
      <c r="R63" s="74"/>
      <c r="S63" s="74"/>
      <c r="T63" s="74"/>
      <c r="U63" s="74"/>
      <c r="V63" s="74"/>
    </row>
    <row r="64" spans="1:22" x14ac:dyDescent="0.25">
      <c r="A64" s="74"/>
      <c r="B64" s="74"/>
      <c r="C64" s="74"/>
      <c r="D64" s="74"/>
      <c r="E64" s="74"/>
      <c r="F64" s="74"/>
      <c r="G64" s="74"/>
      <c r="H64" s="74"/>
      <c r="I64" s="74"/>
      <c r="J64" s="74"/>
      <c r="K64" s="74"/>
      <c r="L64" s="74"/>
      <c r="M64" s="74"/>
      <c r="N64" s="74"/>
      <c r="O64" s="74"/>
      <c r="P64" s="74"/>
      <c r="Q64" s="74"/>
      <c r="R64" s="74"/>
      <c r="S64" s="74"/>
      <c r="T64" s="74"/>
      <c r="U64" s="74"/>
      <c r="V64" s="74"/>
    </row>
    <row r="65" spans="1:22" x14ac:dyDescent="0.25">
      <c r="A65" s="74"/>
      <c r="B65" s="74"/>
      <c r="C65" s="74"/>
      <c r="D65" s="74"/>
      <c r="E65" s="74"/>
      <c r="F65" s="74"/>
      <c r="G65" s="74"/>
      <c r="H65" s="74"/>
      <c r="I65" s="74"/>
      <c r="J65" s="74"/>
      <c r="K65" s="74"/>
      <c r="L65" s="74"/>
      <c r="M65" s="74"/>
      <c r="N65" s="74"/>
      <c r="O65" s="74"/>
      <c r="P65" s="74"/>
      <c r="Q65" s="74"/>
      <c r="R65" s="74"/>
      <c r="S65" s="74"/>
      <c r="T65" s="74"/>
      <c r="U65" s="74"/>
      <c r="V65" s="74"/>
    </row>
    <row r="66" spans="1:22" x14ac:dyDescent="0.25">
      <c r="A66" s="74"/>
      <c r="B66" s="74"/>
      <c r="C66" s="74"/>
      <c r="D66" s="74"/>
      <c r="E66" s="74"/>
      <c r="F66" s="74"/>
      <c r="G66" s="74"/>
      <c r="H66" s="74"/>
      <c r="I66" s="74"/>
      <c r="J66" s="74"/>
      <c r="K66" s="74"/>
      <c r="L66" s="74"/>
      <c r="M66" s="74"/>
      <c r="N66" s="74"/>
      <c r="O66" s="74"/>
      <c r="P66" s="74"/>
      <c r="Q66" s="74"/>
      <c r="R66" s="74"/>
      <c r="S66" s="74"/>
      <c r="T66" s="74"/>
      <c r="U66" s="74"/>
      <c r="V66" s="74"/>
    </row>
    <row r="67" spans="1:22" x14ac:dyDescent="0.25">
      <c r="A67" s="74"/>
      <c r="B67" s="74"/>
      <c r="C67" s="74"/>
      <c r="D67" s="74"/>
      <c r="E67" s="74"/>
      <c r="F67" s="74"/>
      <c r="G67" s="74"/>
      <c r="H67" s="74"/>
      <c r="I67" s="74"/>
      <c r="J67" s="74"/>
      <c r="K67" s="74"/>
      <c r="L67" s="74"/>
      <c r="M67" s="74"/>
      <c r="N67" s="74"/>
      <c r="O67" s="74"/>
      <c r="P67" s="74"/>
      <c r="Q67" s="74"/>
      <c r="R67" s="74"/>
      <c r="S67" s="74"/>
      <c r="T67" s="74"/>
      <c r="U67" s="74"/>
      <c r="V67" s="74"/>
    </row>
    <row r="68" spans="1:22" x14ac:dyDescent="0.25">
      <c r="A68" s="74"/>
      <c r="B68" s="74"/>
      <c r="C68" s="74"/>
      <c r="D68" s="74"/>
      <c r="E68" s="74"/>
      <c r="F68" s="74"/>
      <c r="G68" s="74"/>
      <c r="H68" s="74"/>
      <c r="I68" s="74"/>
      <c r="J68" s="74"/>
      <c r="K68" s="74"/>
      <c r="L68" s="74"/>
      <c r="M68" s="74"/>
      <c r="N68" s="74"/>
      <c r="O68" s="74"/>
      <c r="P68" s="74"/>
      <c r="Q68" s="74"/>
      <c r="R68" s="74"/>
      <c r="S68" s="74"/>
      <c r="T68" s="74"/>
      <c r="U68" s="74"/>
      <c r="V68" s="74"/>
    </row>
    <row r="69" spans="1:22" x14ac:dyDescent="0.25">
      <c r="A69" s="74"/>
      <c r="B69" s="74"/>
      <c r="C69" s="74"/>
      <c r="D69" s="74"/>
      <c r="E69" s="74"/>
      <c r="F69" s="74"/>
      <c r="G69" s="74"/>
      <c r="H69" s="74"/>
      <c r="I69" s="74"/>
      <c r="J69" s="74"/>
      <c r="K69" s="74"/>
      <c r="L69" s="74"/>
      <c r="M69" s="74"/>
      <c r="N69" s="74"/>
      <c r="O69" s="74"/>
      <c r="P69" s="74"/>
      <c r="Q69" s="74"/>
      <c r="R69" s="74"/>
      <c r="S69" s="74"/>
      <c r="T69" s="74"/>
      <c r="U69" s="74"/>
      <c r="V69" s="74"/>
    </row>
    <row r="70" spans="1:22" x14ac:dyDescent="0.25">
      <c r="A70" s="74"/>
      <c r="B70" s="74"/>
      <c r="C70" s="74"/>
      <c r="D70" s="74"/>
      <c r="E70" s="74"/>
      <c r="F70" s="74"/>
      <c r="G70" s="74"/>
      <c r="H70" s="74"/>
      <c r="I70" s="74"/>
      <c r="J70" s="74"/>
      <c r="K70" s="74"/>
      <c r="L70" s="74"/>
      <c r="M70" s="74"/>
      <c r="N70" s="74"/>
      <c r="O70" s="74"/>
      <c r="P70" s="74"/>
      <c r="Q70" s="74"/>
      <c r="R70" s="74"/>
      <c r="S70" s="74"/>
      <c r="T70" s="74"/>
      <c r="U70" s="74"/>
      <c r="V70" s="74"/>
    </row>
    <row r="71" spans="1:22" x14ac:dyDescent="0.25">
      <c r="A71" s="74"/>
      <c r="B71" s="74"/>
      <c r="C71" s="74"/>
      <c r="D71" s="74"/>
      <c r="E71" s="74"/>
      <c r="F71" s="74"/>
      <c r="G71" s="74"/>
      <c r="H71" s="74"/>
      <c r="I71" s="74"/>
      <c r="J71" s="74"/>
      <c r="K71" s="74"/>
      <c r="L71" s="74"/>
      <c r="M71" s="74"/>
      <c r="N71" s="74"/>
      <c r="O71" s="74"/>
      <c r="P71" s="74"/>
      <c r="Q71" s="74"/>
      <c r="R71" s="74"/>
      <c r="S71" s="74"/>
      <c r="T71" s="74"/>
      <c r="U71" s="74"/>
      <c r="V71" s="74"/>
    </row>
    <row r="72" spans="1:22" x14ac:dyDescent="0.25">
      <c r="A72" s="74"/>
      <c r="B72" s="74"/>
      <c r="C72" s="74"/>
      <c r="D72" s="74"/>
      <c r="E72" s="74"/>
      <c r="F72" s="74"/>
      <c r="G72" s="74"/>
      <c r="H72" s="74"/>
      <c r="I72" s="74"/>
      <c r="J72" s="74"/>
      <c r="K72" s="74"/>
      <c r="L72" s="74"/>
      <c r="M72" s="74"/>
      <c r="N72" s="74"/>
      <c r="O72" s="74"/>
      <c r="P72" s="74"/>
      <c r="Q72" s="74"/>
      <c r="R72" s="74"/>
      <c r="S72" s="74"/>
      <c r="T72" s="74"/>
      <c r="U72" s="74"/>
      <c r="V72" s="74"/>
    </row>
    <row r="73" spans="1:22" x14ac:dyDescent="0.25">
      <c r="A73" s="74"/>
      <c r="B73" s="74"/>
      <c r="C73" s="74"/>
      <c r="D73" s="74"/>
      <c r="E73" s="74"/>
      <c r="F73" s="74"/>
      <c r="G73" s="74"/>
      <c r="H73" s="74"/>
      <c r="I73" s="74"/>
      <c r="J73" s="74"/>
      <c r="K73" s="74"/>
      <c r="L73" s="74"/>
      <c r="M73" s="74"/>
      <c r="N73" s="74"/>
      <c r="O73" s="74"/>
      <c r="P73" s="74"/>
      <c r="Q73" s="74"/>
      <c r="R73" s="74"/>
      <c r="S73" s="74"/>
      <c r="T73" s="74"/>
      <c r="U73" s="74"/>
      <c r="V73" s="74"/>
    </row>
    <row r="74" spans="1:22" x14ac:dyDescent="0.25">
      <c r="A74" s="74"/>
    </row>
  </sheetData>
  <sheetProtection password="8E71" sheet="1" objects="1" scenarios="1"/>
  <sortState ref="A5:V47">
    <sortCondition ref="F5:F47"/>
  </sortState>
  <pageMargins left="0.25" right="0.25" top="0.5" bottom="0.5" header="0.3" footer="0.3"/>
  <pageSetup scale="73" orientation="portrait" r:id="rId1"/>
  <headerFooter>
    <oddFooter>&amp;L&amp;10&amp;Z&amp;F&amp;R&amp;10Prepared &amp;D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AK179"/>
  <sheetViews>
    <sheetView defaultGridColor="0" colorId="10" zoomScaleNormal="100" workbookViewId="0">
      <selection activeCell="F65" sqref="F65"/>
    </sheetView>
  </sheetViews>
  <sheetFormatPr defaultRowHeight="12" x14ac:dyDescent="0.2"/>
  <cols>
    <col min="1" max="1" width="1.28515625" style="15" customWidth="1"/>
    <col min="2" max="2" width="2.7109375" style="15" customWidth="1"/>
    <col min="3" max="3" width="12.28515625" style="15" customWidth="1"/>
    <col min="4" max="4" width="8.85546875" style="15" customWidth="1"/>
    <col min="5" max="5" width="10.7109375" style="15" customWidth="1"/>
    <col min="6" max="6" width="13.7109375" style="15" customWidth="1"/>
    <col min="7" max="8" width="11.5703125" style="15" customWidth="1"/>
    <col min="9" max="9" width="8.28515625" style="15" customWidth="1"/>
    <col min="10" max="10" width="10.28515625" style="15" customWidth="1"/>
    <col min="11" max="11" width="3" style="15" customWidth="1"/>
    <col min="12" max="12" width="2.7109375" style="15" customWidth="1"/>
    <col min="13" max="14" width="3.28515625" style="15" customWidth="1"/>
    <col min="15" max="15" width="11.5703125" style="15" customWidth="1"/>
    <col min="16" max="16" width="8.42578125" style="15" customWidth="1"/>
    <col min="17" max="22" width="11.85546875" style="15" customWidth="1"/>
    <col min="23" max="25" width="3.28515625" style="15" customWidth="1"/>
    <col min="26" max="26" width="2.7109375" style="15" customWidth="1"/>
    <col min="27" max="27" width="7.28515625" style="15" customWidth="1"/>
    <col min="28" max="28" width="5" style="16" customWidth="1"/>
    <col min="29" max="29" width="33.7109375" style="15" customWidth="1"/>
    <col min="30" max="30" width="7.7109375" style="15" customWidth="1"/>
    <col min="31" max="31" width="8.140625" style="17" customWidth="1"/>
    <col min="32" max="32" width="3.7109375" style="15" customWidth="1"/>
    <col min="33" max="33" width="7.7109375" style="15" customWidth="1"/>
    <col min="34" max="34" width="10.42578125" style="17" customWidth="1"/>
    <col min="35" max="35" width="2.7109375" style="15" customWidth="1"/>
    <col min="36" max="36" width="1.28515625" style="15" customWidth="1"/>
    <col min="37" max="253" width="9.140625" style="15"/>
    <col min="254" max="254" width="1.28515625" style="15" customWidth="1"/>
    <col min="255" max="255" width="2.7109375" style="15" customWidth="1"/>
    <col min="256" max="256" width="12.28515625" style="15" customWidth="1"/>
    <col min="257" max="257" width="8.85546875" style="15" customWidth="1"/>
    <col min="258" max="258" width="10.7109375" style="15" customWidth="1"/>
    <col min="259" max="259" width="9.140625" style="15"/>
    <col min="260" max="261" width="11.5703125" style="15" customWidth="1"/>
    <col min="262" max="262" width="8.28515625" style="15" customWidth="1"/>
    <col min="263" max="263" width="10.28515625" style="15" customWidth="1"/>
    <col min="264" max="264" width="3" style="15" customWidth="1"/>
    <col min="265" max="265" width="2.7109375" style="15" customWidth="1"/>
    <col min="266" max="266" width="3.28515625" style="15" customWidth="1"/>
    <col min="267" max="267" width="2.7109375" style="15" customWidth="1"/>
    <col min="268" max="268" width="7.28515625" style="15" customWidth="1"/>
    <col min="269" max="269" width="5" style="15" customWidth="1"/>
    <col min="270" max="270" width="33.7109375" style="15" customWidth="1"/>
    <col min="271" max="271" width="7.7109375" style="15" customWidth="1"/>
    <col min="272" max="272" width="0" style="15" hidden="1" customWidth="1"/>
    <col min="273" max="273" width="8.140625" style="15" customWidth="1"/>
    <col min="274" max="274" width="3.7109375" style="15" customWidth="1"/>
    <col min="275" max="275" width="7.7109375" style="15" customWidth="1"/>
    <col min="276" max="276" width="0" style="15" hidden="1" customWidth="1"/>
    <col min="277" max="277" width="7.7109375" style="15" customWidth="1"/>
    <col min="278" max="278" width="2.7109375" style="15" customWidth="1"/>
    <col min="279" max="279" width="1.28515625" style="15" customWidth="1"/>
    <col min="280" max="509" width="9.140625" style="15"/>
    <col min="510" max="510" width="1.28515625" style="15" customWidth="1"/>
    <col min="511" max="511" width="2.7109375" style="15" customWidth="1"/>
    <col min="512" max="512" width="12.28515625" style="15" customWidth="1"/>
    <col min="513" max="513" width="8.85546875" style="15" customWidth="1"/>
    <col min="514" max="514" width="10.7109375" style="15" customWidth="1"/>
    <col min="515" max="515" width="9.140625" style="15"/>
    <col min="516" max="517" width="11.5703125" style="15" customWidth="1"/>
    <col min="518" max="518" width="8.28515625" style="15" customWidth="1"/>
    <col min="519" max="519" width="10.28515625" style="15" customWidth="1"/>
    <col min="520" max="520" width="3" style="15" customWidth="1"/>
    <col min="521" max="521" width="2.7109375" style="15" customWidth="1"/>
    <col min="522" max="522" width="3.28515625" style="15" customWidth="1"/>
    <col min="523" max="523" width="2.7109375" style="15" customWidth="1"/>
    <col min="524" max="524" width="7.28515625" style="15" customWidth="1"/>
    <col min="525" max="525" width="5" style="15" customWidth="1"/>
    <col min="526" max="526" width="33.7109375" style="15" customWidth="1"/>
    <col min="527" max="527" width="7.7109375" style="15" customWidth="1"/>
    <col min="528" max="528" width="0" style="15" hidden="1" customWidth="1"/>
    <col min="529" max="529" width="8.140625" style="15" customWidth="1"/>
    <col min="530" max="530" width="3.7109375" style="15" customWidth="1"/>
    <col min="531" max="531" width="7.7109375" style="15" customWidth="1"/>
    <col min="532" max="532" width="0" style="15" hidden="1" customWidth="1"/>
    <col min="533" max="533" width="7.7109375" style="15" customWidth="1"/>
    <col min="534" max="534" width="2.7109375" style="15" customWidth="1"/>
    <col min="535" max="535" width="1.28515625" style="15" customWidth="1"/>
    <col min="536" max="765" width="9.140625" style="15"/>
    <col min="766" max="766" width="1.28515625" style="15" customWidth="1"/>
    <col min="767" max="767" width="2.7109375" style="15" customWidth="1"/>
    <col min="768" max="768" width="12.28515625" style="15" customWidth="1"/>
    <col min="769" max="769" width="8.85546875" style="15" customWidth="1"/>
    <col min="770" max="770" width="10.7109375" style="15" customWidth="1"/>
    <col min="771" max="771" width="9.140625" style="15"/>
    <col min="772" max="773" width="11.5703125" style="15" customWidth="1"/>
    <col min="774" max="774" width="8.28515625" style="15" customWidth="1"/>
    <col min="775" max="775" width="10.28515625" style="15" customWidth="1"/>
    <col min="776" max="776" width="3" style="15" customWidth="1"/>
    <col min="777" max="777" width="2.7109375" style="15" customWidth="1"/>
    <col min="778" max="778" width="3.28515625" style="15" customWidth="1"/>
    <col min="779" max="779" width="2.7109375" style="15" customWidth="1"/>
    <col min="780" max="780" width="7.28515625" style="15" customWidth="1"/>
    <col min="781" max="781" width="5" style="15" customWidth="1"/>
    <col min="782" max="782" width="33.7109375" style="15" customWidth="1"/>
    <col min="783" max="783" width="7.7109375" style="15" customWidth="1"/>
    <col min="784" max="784" width="0" style="15" hidden="1" customWidth="1"/>
    <col min="785" max="785" width="8.140625" style="15" customWidth="1"/>
    <col min="786" max="786" width="3.7109375" style="15" customWidth="1"/>
    <col min="787" max="787" width="7.7109375" style="15" customWidth="1"/>
    <col min="788" max="788" width="0" style="15" hidden="1" customWidth="1"/>
    <col min="789" max="789" width="7.7109375" style="15" customWidth="1"/>
    <col min="790" max="790" width="2.7109375" style="15" customWidth="1"/>
    <col min="791" max="791" width="1.28515625" style="15" customWidth="1"/>
    <col min="792" max="1021" width="9.140625" style="15"/>
    <col min="1022" max="1022" width="1.28515625" style="15" customWidth="1"/>
    <col min="1023" max="1023" width="2.7109375" style="15" customWidth="1"/>
    <col min="1024" max="1024" width="12.28515625" style="15" customWidth="1"/>
    <col min="1025" max="1025" width="8.85546875" style="15" customWidth="1"/>
    <col min="1026" max="1026" width="10.7109375" style="15" customWidth="1"/>
    <col min="1027" max="1027" width="9.140625" style="15"/>
    <col min="1028" max="1029" width="11.5703125" style="15" customWidth="1"/>
    <col min="1030" max="1030" width="8.28515625" style="15" customWidth="1"/>
    <col min="1031" max="1031" width="10.28515625" style="15" customWidth="1"/>
    <col min="1032" max="1032" width="3" style="15" customWidth="1"/>
    <col min="1033" max="1033" width="2.7109375" style="15" customWidth="1"/>
    <col min="1034" max="1034" width="3.28515625" style="15" customWidth="1"/>
    <col min="1035" max="1035" width="2.7109375" style="15" customWidth="1"/>
    <col min="1036" max="1036" width="7.28515625" style="15" customWidth="1"/>
    <col min="1037" max="1037" width="5" style="15" customWidth="1"/>
    <col min="1038" max="1038" width="33.7109375" style="15" customWidth="1"/>
    <col min="1039" max="1039" width="7.7109375" style="15" customWidth="1"/>
    <col min="1040" max="1040" width="0" style="15" hidden="1" customWidth="1"/>
    <col min="1041" max="1041" width="8.140625" style="15" customWidth="1"/>
    <col min="1042" max="1042" width="3.7109375" style="15" customWidth="1"/>
    <col min="1043" max="1043" width="7.7109375" style="15" customWidth="1"/>
    <col min="1044" max="1044" width="0" style="15" hidden="1" customWidth="1"/>
    <col min="1045" max="1045" width="7.7109375" style="15" customWidth="1"/>
    <col min="1046" max="1046" width="2.7109375" style="15" customWidth="1"/>
    <col min="1047" max="1047" width="1.28515625" style="15" customWidth="1"/>
    <col min="1048" max="1277" width="9.140625" style="15"/>
    <col min="1278" max="1278" width="1.28515625" style="15" customWidth="1"/>
    <col min="1279" max="1279" width="2.7109375" style="15" customWidth="1"/>
    <col min="1280" max="1280" width="12.28515625" style="15" customWidth="1"/>
    <col min="1281" max="1281" width="8.85546875" style="15" customWidth="1"/>
    <col min="1282" max="1282" width="10.7109375" style="15" customWidth="1"/>
    <col min="1283" max="1283" width="9.140625" style="15"/>
    <col min="1284" max="1285" width="11.5703125" style="15" customWidth="1"/>
    <col min="1286" max="1286" width="8.28515625" style="15" customWidth="1"/>
    <col min="1287" max="1287" width="10.28515625" style="15" customWidth="1"/>
    <col min="1288" max="1288" width="3" style="15" customWidth="1"/>
    <col min="1289" max="1289" width="2.7109375" style="15" customWidth="1"/>
    <col min="1290" max="1290" width="3.28515625" style="15" customWidth="1"/>
    <col min="1291" max="1291" width="2.7109375" style="15" customWidth="1"/>
    <col min="1292" max="1292" width="7.28515625" style="15" customWidth="1"/>
    <col min="1293" max="1293" width="5" style="15" customWidth="1"/>
    <col min="1294" max="1294" width="33.7109375" style="15" customWidth="1"/>
    <col min="1295" max="1295" width="7.7109375" style="15" customWidth="1"/>
    <col min="1296" max="1296" width="0" style="15" hidden="1" customWidth="1"/>
    <col min="1297" max="1297" width="8.140625" style="15" customWidth="1"/>
    <col min="1298" max="1298" width="3.7109375" style="15" customWidth="1"/>
    <col min="1299" max="1299" width="7.7109375" style="15" customWidth="1"/>
    <col min="1300" max="1300" width="0" style="15" hidden="1" customWidth="1"/>
    <col min="1301" max="1301" width="7.7109375" style="15" customWidth="1"/>
    <col min="1302" max="1302" width="2.7109375" style="15" customWidth="1"/>
    <col min="1303" max="1303" width="1.28515625" style="15" customWidth="1"/>
    <col min="1304" max="1533" width="9.140625" style="15"/>
    <col min="1534" max="1534" width="1.28515625" style="15" customWidth="1"/>
    <col min="1535" max="1535" width="2.7109375" style="15" customWidth="1"/>
    <col min="1536" max="1536" width="12.28515625" style="15" customWidth="1"/>
    <col min="1537" max="1537" width="8.85546875" style="15" customWidth="1"/>
    <col min="1538" max="1538" width="10.7109375" style="15" customWidth="1"/>
    <col min="1539" max="1539" width="9.140625" style="15"/>
    <col min="1540" max="1541" width="11.5703125" style="15" customWidth="1"/>
    <col min="1542" max="1542" width="8.28515625" style="15" customWidth="1"/>
    <col min="1543" max="1543" width="10.28515625" style="15" customWidth="1"/>
    <col min="1544" max="1544" width="3" style="15" customWidth="1"/>
    <col min="1545" max="1545" width="2.7109375" style="15" customWidth="1"/>
    <col min="1546" max="1546" width="3.28515625" style="15" customWidth="1"/>
    <col min="1547" max="1547" width="2.7109375" style="15" customWidth="1"/>
    <col min="1548" max="1548" width="7.28515625" style="15" customWidth="1"/>
    <col min="1549" max="1549" width="5" style="15" customWidth="1"/>
    <col min="1550" max="1550" width="33.7109375" style="15" customWidth="1"/>
    <col min="1551" max="1551" width="7.7109375" style="15" customWidth="1"/>
    <col min="1552" max="1552" width="0" style="15" hidden="1" customWidth="1"/>
    <col min="1553" max="1553" width="8.140625" style="15" customWidth="1"/>
    <col min="1554" max="1554" width="3.7109375" style="15" customWidth="1"/>
    <col min="1555" max="1555" width="7.7109375" style="15" customWidth="1"/>
    <col min="1556" max="1556" width="0" style="15" hidden="1" customWidth="1"/>
    <col min="1557" max="1557" width="7.7109375" style="15" customWidth="1"/>
    <col min="1558" max="1558" width="2.7109375" style="15" customWidth="1"/>
    <col min="1559" max="1559" width="1.28515625" style="15" customWidth="1"/>
    <col min="1560" max="1789" width="9.140625" style="15"/>
    <col min="1790" max="1790" width="1.28515625" style="15" customWidth="1"/>
    <col min="1791" max="1791" width="2.7109375" style="15" customWidth="1"/>
    <col min="1792" max="1792" width="12.28515625" style="15" customWidth="1"/>
    <col min="1793" max="1793" width="8.85546875" style="15" customWidth="1"/>
    <col min="1794" max="1794" width="10.7109375" style="15" customWidth="1"/>
    <col min="1795" max="1795" width="9.140625" style="15"/>
    <col min="1796" max="1797" width="11.5703125" style="15" customWidth="1"/>
    <col min="1798" max="1798" width="8.28515625" style="15" customWidth="1"/>
    <col min="1799" max="1799" width="10.28515625" style="15" customWidth="1"/>
    <col min="1800" max="1800" width="3" style="15" customWidth="1"/>
    <col min="1801" max="1801" width="2.7109375" style="15" customWidth="1"/>
    <col min="1802" max="1802" width="3.28515625" style="15" customWidth="1"/>
    <col min="1803" max="1803" width="2.7109375" style="15" customWidth="1"/>
    <col min="1804" max="1804" width="7.28515625" style="15" customWidth="1"/>
    <col min="1805" max="1805" width="5" style="15" customWidth="1"/>
    <col min="1806" max="1806" width="33.7109375" style="15" customWidth="1"/>
    <col min="1807" max="1807" width="7.7109375" style="15" customWidth="1"/>
    <col min="1808" max="1808" width="0" style="15" hidden="1" customWidth="1"/>
    <col min="1809" max="1809" width="8.140625" style="15" customWidth="1"/>
    <col min="1810" max="1810" width="3.7109375" style="15" customWidth="1"/>
    <col min="1811" max="1811" width="7.7109375" style="15" customWidth="1"/>
    <col min="1812" max="1812" width="0" style="15" hidden="1" customWidth="1"/>
    <col min="1813" max="1813" width="7.7109375" style="15" customWidth="1"/>
    <col min="1814" max="1814" width="2.7109375" style="15" customWidth="1"/>
    <col min="1815" max="1815" width="1.28515625" style="15" customWidth="1"/>
    <col min="1816" max="2045" width="9.140625" style="15"/>
    <col min="2046" max="2046" width="1.28515625" style="15" customWidth="1"/>
    <col min="2047" max="2047" width="2.7109375" style="15" customWidth="1"/>
    <col min="2048" max="2048" width="12.28515625" style="15" customWidth="1"/>
    <col min="2049" max="2049" width="8.85546875" style="15" customWidth="1"/>
    <col min="2050" max="2050" width="10.7109375" style="15" customWidth="1"/>
    <col min="2051" max="2051" width="9.140625" style="15"/>
    <col min="2052" max="2053" width="11.5703125" style="15" customWidth="1"/>
    <col min="2054" max="2054" width="8.28515625" style="15" customWidth="1"/>
    <col min="2055" max="2055" width="10.28515625" style="15" customWidth="1"/>
    <col min="2056" max="2056" width="3" style="15" customWidth="1"/>
    <col min="2057" max="2057" width="2.7109375" style="15" customWidth="1"/>
    <col min="2058" max="2058" width="3.28515625" style="15" customWidth="1"/>
    <col min="2059" max="2059" width="2.7109375" style="15" customWidth="1"/>
    <col min="2060" max="2060" width="7.28515625" style="15" customWidth="1"/>
    <col min="2061" max="2061" width="5" style="15" customWidth="1"/>
    <col min="2062" max="2062" width="33.7109375" style="15" customWidth="1"/>
    <col min="2063" max="2063" width="7.7109375" style="15" customWidth="1"/>
    <col min="2064" max="2064" width="0" style="15" hidden="1" customWidth="1"/>
    <col min="2065" max="2065" width="8.140625" style="15" customWidth="1"/>
    <col min="2066" max="2066" width="3.7109375" style="15" customWidth="1"/>
    <col min="2067" max="2067" width="7.7109375" style="15" customWidth="1"/>
    <col min="2068" max="2068" width="0" style="15" hidden="1" customWidth="1"/>
    <col min="2069" max="2069" width="7.7109375" style="15" customWidth="1"/>
    <col min="2070" max="2070" width="2.7109375" style="15" customWidth="1"/>
    <col min="2071" max="2071" width="1.28515625" style="15" customWidth="1"/>
    <col min="2072" max="2301" width="9.140625" style="15"/>
    <col min="2302" max="2302" width="1.28515625" style="15" customWidth="1"/>
    <col min="2303" max="2303" width="2.7109375" style="15" customWidth="1"/>
    <col min="2304" max="2304" width="12.28515625" style="15" customWidth="1"/>
    <col min="2305" max="2305" width="8.85546875" style="15" customWidth="1"/>
    <col min="2306" max="2306" width="10.7109375" style="15" customWidth="1"/>
    <col min="2307" max="2307" width="9.140625" style="15"/>
    <col min="2308" max="2309" width="11.5703125" style="15" customWidth="1"/>
    <col min="2310" max="2310" width="8.28515625" style="15" customWidth="1"/>
    <col min="2311" max="2311" width="10.28515625" style="15" customWidth="1"/>
    <col min="2312" max="2312" width="3" style="15" customWidth="1"/>
    <col min="2313" max="2313" width="2.7109375" style="15" customWidth="1"/>
    <col min="2314" max="2314" width="3.28515625" style="15" customWidth="1"/>
    <col min="2315" max="2315" width="2.7109375" style="15" customWidth="1"/>
    <col min="2316" max="2316" width="7.28515625" style="15" customWidth="1"/>
    <col min="2317" max="2317" width="5" style="15" customWidth="1"/>
    <col min="2318" max="2318" width="33.7109375" style="15" customWidth="1"/>
    <col min="2319" max="2319" width="7.7109375" style="15" customWidth="1"/>
    <col min="2320" max="2320" width="0" style="15" hidden="1" customWidth="1"/>
    <col min="2321" max="2321" width="8.140625" style="15" customWidth="1"/>
    <col min="2322" max="2322" width="3.7109375" style="15" customWidth="1"/>
    <col min="2323" max="2323" width="7.7109375" style="15" customWidth="1"/>
    <col min="2324" max="2324" width="0" style="15" hidden="1" customWidth="1"/>
    <col min="2325" max="2325" width="7.7109375" style="15" customWidth="1"/>
    <col min="2326" max="2326" width="2.7109375" style="15" customWidth="1"/>
    <col min="2327" max="2327" width="1.28515625" style="15" customWidth="1"/>
    <col min="2328" max="2557" width="9.140625" style="15"/>
    <col min="2558" max="2558" width="1.28515625" style="15" customWidth="1"/>
    <col min="2559" max="2559" width="2.7109375" style="15" customWidth="1"/>
    <col min="2560" max="2560" width="12.28515625" style="15" customWidth="1"/>
    <col min="2561" max="2561" width="8.85546875" style="15" customWidth="1"/>
    <col min="2562" max="2562" width="10.7109375" style="15" customWidth="1"/>
    <col min="2563" max="2563" width="9.140625" style="15"/>
    <col min="2564" max="2565" width="11.5703125" style="15" customWidth="1"/>
    <col min="2566" max="2566" width="8.28515625" style="15" customWidth="1"/>
    <col min="2567" max="2567" width="10.28515625" style="15" customWidth="1"/>
    <col min="2568" max="2568" width="3" style="15" customWidth="1"/>
    <col min="2569" max="2569" width="2.7109375" style="15" customWidth="1"/>
    <col min="2570" max="2570" width="3.28515625" style="15" customWidth="1"/>
    <col min="2571" max="2571" width="2.7109375" style="15" customWidth="1"/>
    <col min="2572" max="2572" width="7.28515625" style="15" customWidth="1"/>
    <col min="2573" max="2573" width="5" style="15" customWidth="1"/>
    <col min="2574" max="2574" width="33.7109375" style="15" customWidth="1"/>
    <col min="2575" max="2575" width="7.7109375" style="15" customWidth="1"/>
    <col min="2576" max="2576" width="0" style="15" hidden="1" customWidth="1"/>
    <col min="2577" max="2577" width="8.140625" style="15" customWidth="1"/>
    <col min="2578" max="2578" width="3.7109375" style="15" customWidth="1"/>
    <col min="2579" max="2579" width="7.7109375" style="15" customWidth="1"/>
    <col min="2580" max="2580" width="0" style="15" hidden="1" customWidth="1"/>
    <col min="2581" max="2581" width="7.7109375" style="15" customWidth="1"/>
    <col min="2582" max="2582" width="2.7109375" style="15" customWidth="1"/>
    <col min="2583" max="2583" width="1.28515625" style="15" customWidth="1"/>
    <col min="2584" max="2813" width="9.140625" style="15"/>
    <col min="2814" max="2814" width="1.28515625" style="15" customWidth="1"/>
    <col min="2815" max="2815" width="2.7109375" style="15" customWidth="1"/>
    <col min="2816" max="2816" width="12.28515625" style="15" customWidth="1"/>
    <col min="2817" max="2817" width="8.85546875" style="15" customWidth="1"/>
    <col min="2818" max="2818" width="10.7109375" style="15" customWidth="1"/>
    <col min="2819" max="2819" width="9.140625" style="15"/>
    <col min="2820" max="2821" width="11.5703125" style="15" customWidth="1"/>
    <col min="2822" max="2822" width="8.28515625" style="15" customWidth="1"/>
    <col min="2823" max="2823" width="10.28515625" style="15" customWidth="1"/>
    <col min="2824" max="2824" width="3" style="15" customWidth="1"/>
    <col min="2825" max="2825" width="2.7109375" style="15" customWidth="1"/>
    <col min="2826" max="2826" width="3.28515625" style="15" customWidth="1"/>
    <col min="2827" max="2827" width="2.7109375" style="15" customWidth="1"/>
    <col min="2828" max="2828" width="7.28515625" style="15" customWidth="1"/>
    <col min="2829" max="2829" width="5" style="15" customWidth="1"/>
    <col min="2830" max="2830" width="33.7109375" style="15" customWidth="1"/>
    <col min="2831" max="2831" width="7.7109375" style="15" customWidth="1"/>
    <col min="2832" max="2832" width="0" style="15" hidden="1" customWidth="1"/>
    <col min="2833" max="2833" width="8.140625" style="15" customWidth="1"/>
    <col min="2834" max="2834" width="3.7109375" style="15" customWidth="1"/>
    <col min="2835" max="2835" width="7.7109375" style="15" customWidth="1"/>
    <col min="2836" max="2836" width="0" style="15" hidden="1" customWidth="1"/>
    <col min="2837" max="2837" width="7.7109375" style="15" customWidth="1"/>
    <col min="2838" max="2838" width="2.7109375" style="15" customWidth="1"/>
    <col min="2839" max="2839" width="1.28515625" style="15" customWidth="1"/>
    <col min="2840" max="3069" width="9.140625" style="15"/>
    <col min="3070" max="3070" width="1.28515625" style="15" customWidth="1"/>
    <col min="3071" max="3071" width="2.7109375" style="15" customWidth="1"/>
    <col min="3072" max="3072" width="12.28515625" style="15" customWidth="1"/>
    <col min="3073" max="3073" width="8.85546875" style="15" customWidth="1"/>
    <col min="3074" max="3074" width="10.7109375" style="15" customWidth="1"/>
    <col min="3075" max="3075" width="9.140625" style="15"/>
    <col min="3076" max="3077" width="11.5703125" style="15" customWidth="1"/>
    <col min="3078" max="3078" width="8.28515625" style="15" customWidth="1"/>
    <col min="3079" max="3079" width="10.28515625" style="15" customWidth="1"/>
    <col min="3080" max="3080" width="3" style="15" customWidth="1"/>
    <col min="3081" max="3081" width="2.7109375" style="15" customWidth="1"/>
    <col min="3082" max="3082" width="3.28515625" style="15" customWidth="1"/>
    <col min="3083" max="3083" width="2.7109375" style="15" customWidth="1"/>
    <col min="3084" max="3084" width="7.28515625" style="15" customWidth="1"/>
    <col min="3085" max="3085" width="5" style="15" customWidth="1"/>
    <col min="3086" max="3086" width="33.7109375" style="15" customWidth="1"/>
    <col min="3087" max="3087" width="7.7109375" style="15" customWidth="1"/>
    <col min="3088" max="3088" width="0" style="15" hidden="1" customWidth="1"/>
    <col min="3089" max="3089" width="8.140625" style="15" customWidth="1"/>
    <col min="3090" max="3090" width="3.7109375" style="15" customWidth="1"/>
    <col min="3091" max="3091" width="7.7109375" style="15" customWidth="1"/>
    <col min="3092" max="3092" width="0" style="15" hidden="1" customWidth="1"/>
    <col min="3093" max="3093" width="7.7109375" style="15" customWidth="1"/>
    <col min="3094" max="3094" width="2.7109375" style="15" customWidth="1"/>
    <col min="3095" max="3095" width="1.28515625" style="15" customWidth="1"/>
    <col min="3096" max="3325" width="9.140625" style="15"/>
    <col min="3326" max="3326" width="1.28515625" style="15" customWidth="1"/>
    <col min="3327" max="3327" width="2.7109375" style="15" customWidth="1"/>
    <col min="3328" max="3328" width="12.28515625" style="15" customWidth="1"/>
    <col min="3329" max="3329" width="8.85546875" style="15" customWidth="1"/>
    <col min="3330" max="3330" width="10.7109375" style="15" customWidth="1"/>
    <col min="3331" max="3331" width="9.140625" style="15"/>
    <col min="3332" max="3333" width="11.5703125" style="15" customWidth="1"/>
    <col min="3334" max="3334" width="8.28515625" style="15" customWidth="1"/>
    <col min="3335" max="3335" width="10.28515625" style="15" customWidth="1"/>
    <col min="3336" max="3336" width="3" style="15" customWidth="1"/>
    <col min="3337" max="3337" width="2.7109375" style="15" customWidth="1"/>
    <col min="3338" max="3338" width="3.28515625" style="15" customWidth="1"/>
    <col min="3339" max="3339" width="2.7109375" style="15" customWidth="1"/>
    <col min="3340" max="3340" width="7.28515625" style="15" customWidth="1"/>
    <col min="3341" max="3341" width="5" style="15" customWidth="1"/>
    <col min="3342" max="3342" width="33.7109375" style="15" customWidth="1"/>
    <col min="3343" max="3343" width="7.7109375" style="15" customWidth="1"/>
    <col min="3344" max="3344" width="0" style="15" hidden="1" customWidth="1"/>
    <col min="3345" max="3345" width="8.140625" style="15" customWidth="1"/>
    <col min="3346" max="3346" width="3.7109375" style="15" customWidth="1"/>
    <col min="3347" max="3347" width="7.7109375" style="15" customWidth="1"/>
    <col min="3348" max="3348" width="0" style="15" hidden="1" customWidth="1"/>
    <col min="3349" max="3349" width="7.7109375" style="15" customWidth="1"/>
    <col min="3350" max="3350" width="2.7109375" style="15" customWidth="1"/>
    <col min="3351" max="3351" width="1.28515625" style="15" customWidth="1"/>
    <col min="3352" max="3581" width="9.140625" style="15"/>
    <col min="3582" max="3582" width="1.28515625" style="15" customWidth="1"/>
    <col min="3583" max="3583" width="2.7109375" style="15" customWidth="1"/>
    <col min="3584" max="3584" width="12.28515625" style="15" customWidth="1"/>
    <col min="3585" max="3585" width="8.85546875" style="15" customWidth="1"/>
    <col min="3586" max="3586" width="10.7109375" style="15" customWidth="1"/>
    <col min="3587" max="3587" width="9.140625" style="15"/>
    <col min="3588" max="3589" width="11.5703125" style="15" customWidth="1"/>
    <col min="3590" max="3590" width="8.28515625" style="15" customWidth="1"/>
    <col min="3591" max="3591" width="10.28515625" style="15" customWidth="1"/>
    <col min="3592" max="3592" width="3" style="15" customWidth="1"/>
    <col min="3593" max="3593" width="2.7109375" style="15" customWidth="1"/>
    <col min="3594" max="3594" width="3.28515625" style="15" customWidth="1"/>
    <col min="3595" max="3595" width="2.7109375" style="15" customWidth="1"/>
    <col min="3596" max="3596" width="7.28515625" style="15" customWidth="1"/>
    <col min="3597" max="3597" width="5" style="15" customWidth="1"/>
    <col min="3598" max="3598" width="33.7109375" style="15" customWidth="1"/>
    <col min="3599" max="3599" width="7.7109375" style="15" customWidth="1"/>
    <col min="3600" max="3600" width="0" style="15" hidden="1" customWidth="1"/>
    <col min="3601" max="3601" width="8.140625" style="15" customWidth="1"/>
    <col min="3602" max="3602" width="3.7109375" style="15" customWidth="1"/>
    <col min="3603" max="3603" width="7.7109375" style="15" customWidth="1"/>
    <col min="3604" max="3604" width="0" style="15" hidden="1" customWidth="1"/>
    <col min="3605" max="3605" width="7.7109375" style="15" customWidth="1"/>
    <col min="3606" max="3606" width="2.7109375" style="15" customWidth="1"/>
    <col min="3607" max="3607" width="1.28515625" style="15" customWidth="1"/>
    <col min="3608" max="3837" width="9.140625" style="15"/>
    <col min="3838" max="3838" width="1.28515625" style="15" customWidth="1"/>
    <col min="3839" max="3839" width="2.7109375" style="15" customWidth="1"/>
    <col min="3840" max="3840" width="12.28515625" style="15" customWidth="1"/>
    <col min="3841" max="3841" width="8.85546875" style="15" customWidth="1"/>
    <col min="3842" max="3842" width="10.7109375" style="15" customWidth="1"/>
    <col min="3843" max="3843" width="9.140625" style="15"/>
    <col min="3844" max="3845" width="11.5703125" style="15" customWidth="1"/>
    <col min="3846" max="3846" width="8.28515625" style="15" customWidth="1"/>
    <col min="3847" max="3847" width="10.28515625" style="15" customWidth="1"/>
    <col min="3848" max="3848" width="3" style="15" customWidth="1"/>
    <col min="3849" max="3849" width="2.7109375" style="15" customWidth="1"/>
    <col min="3850" max="3850" width="3.28515625" style="15" customWidth="1"/>
    <col min="3851" max="3851" width="2.7109375" style="15" customWidth="1"/>
    <col min="3852" max="3852" width="7.28515625" style="15" customWidth="1"/>
    <col min="3853" max="3853" width="5" style="15" customWidth="1"/>
    <col min="3854" max="3854" width="33.7109375" style="15" customWidth="1"/>
    <col min="3855" max="3855" width="7.7109375" style="15" customWidth="1"/>
    <col min="3856" max="3856" width="0" style="15" hidden="1" customWidth="1"/>
    <col min="3857" max="3857" width="8.140625" style="15" customWidth="1"/>
    <col min="3858" max="3858" width="3.7109375" style="15" customWidth="1"/>
    <col min="3859" max="3859" width="7.7109375" style="15" customWidth="1"/>
    <col min="3860" max="3860" width="0" style="15" hidden="1" customWidth="1"/>
    <col min="3861" max="3861" width="7.7109375" style="15" customWidth="1"/>
    <col min="3862" max="3862" width="2.7109375" style="15" customWidth="1"/>
    <col min="3863" max="3863" width="1.28515625" style="15" customWidth="1"/>
    <col min="3864" max="4093" width="9.140625" style="15"/>
    <col min="4094" max="4094" width="1.28515625" style="15" customWidth="1"/>
    <col min="4095" max="4095" width="2.7109375" style="15" customWidth="1"/>
    <col min="4096" max="4096" width="12.28515625" style="15" customWidth="1"/>
    <col min="4097" max="4097" width="8.85546875" style="15" customWidth="1"/>
    <col min="4098" max="4098" width="10.7109375" style="15" customWidth="1"/>
    <col min="4099" max="4099" width="9.140625" style="15"/>
    <col min="4100" max="4101" width="11.5703125" style="15" customWidth="1"/>
    <col min="4102" max="4102" width="8.28515625" style="15" customWidth="1"/>
    <col min="4103" max="4103" width="10.28515625" style="15" customWidth="1"/>
    <col min="4104" max="4104" width="3" style="15" customWidth="1"/>
    <col min="4105" max="4105" width="2.7109375" style="15" customWidth="1"/>
    <col min="4106" max="4106" width="3.28515625" style="15" customWidth="1"/>
    <col min="4107" max="4107" width="2.7109375" style="15" customWidth="1"/>
    <col min="4108" max="4108" width="7.28515625" style="15" customWidth="1"/>
    <col min="4109" max="4109" width="5" style="15" customWidth="1"/>
    <col min="4110" max="4110" width="33.7109375" style="15" customWidth="1"/>
    <col min="4111" max="4111" width="7.7109375" style="15" customWidth="1"/>
    <col min="4112" max="4112" width="0" style="15" hidden="1" customWidth="1"/>
    <col min="4113" max="4113" width="8.140625" style="15" customWidth="1"/>
    <col min="4114" max="4114" width="3.7109375" style="15" customWidth="1"/>
    <col min="4115" max="4115" width="7.7109375" style="15" customWidth="1"/>
    <col min="4116" max="4116" width="0" style="15" hidden="1" customWidth="1"/>
    <col min="4117" max="4117" width="7.7109375" style="15" customWidth="1"/>
    <col min="4118" max="4118" width="2.7109375" style="15" customWidth="1"/>
    <col min="4119" max="4119" width="1.28515625" style="15" customWidth="1"/>
    <col min="4120" max="4349" width="9.140625" style="15"/>
    <col min="4350" max="4350" width="1.28515625" style="15" customWidth="1"/>
    <col min="4351" max="4351" width="2.7109375" style="15" customWidth="1"/>
    <col min="4352" max="4352" width="12.28515625" style="15" customWidth="1"/>
    <col min="4353" max="4353" width="8.85546875" style="15" customWidth="1"/>
    <col min="4354" max="4354" width="10.7109375" style="15" customWidth="1"/>
    <col min="4355" max="4355" width="9.140625" style="15"/>
    <col min="4356" max="4357" width="11.5703125" style="15" customWidth="1"/>
    <col min="4358" max="4358" width="8.28515625" style="15" customWidth="1"/>
    <col min="4359" max="4359" width="10.28515625" style="15" customWidth="1"/>
    <col min="4360" max="4360" width="3" style="15" customWidth="1"/>
    <col min="4361" max="4361" width="2.7109375" style="15" customWidth="1"/>
    <col min="4362" max="4362" width="3.28515625" style="15" customWidth="1"/>
    <col min="4363" max="4363" width="2.7109375" style="15" customWidth="1"/>
    <col min="4364" max="4364" width="7.28515625" style="15" customWidth="1"/>
    <col min="4365" max="4365" width="5" style="15" customWidth="1"/>
    <col min="4366" max="4366" width="33.7109375" style="15" customWidth="1"/>
    <col min="4367" max="4367" width="7.7109375" style="15" customWidth="1"/>
    <col min="4368" max="4368" width="0" style="15" hidden="1" customWidth="1"/>
    <col min="4369" max="4369" width="8.140625" style="15" customWidth="1"/>
    <col min="4370" max="4370" width="3.7109375" style="15" customWidth="1"/>
    <col min="4371" max="4371" width="7.7109375" style="15" customWidth="1"/>
    <col min="4372" max="4372" width="0" style="15" hidden="1" customWidth="1"/>
    <col min="4373" max="4373" width="7.7109375" style="15" customWidth="1"/>
    <col min="4374" max="4374" width="2.7109375" style="15" customWidth="1"/>
    <col min="4375" max="4375" width="1.28515625" style="15" customWidth="1"/>
    <col min="4376" max="4605" width="9.140625" style="15"/>
    <col min="4606" max="4606" width="1.28515625" style="15" customWidth="1"/>
    <col min="4607" max="4607" width="2.7109375" style="15" customWidth="1"/>
    <col min="4608" max="4608" width="12.28515625" style="15" customWidth="1"/>
    <col min="4609" max="4609" width="8.85546875" style="15" customWidth="1"/>
    <col min="4610" max="4610" width="10.7109375" style="15" customWidth="1"/>
    <col min="4611" max="4611" width="9.140625" style="15"/>
    <col min="4612" max="4613" width="11.5703125" style="15" customWidth="1"/>
    <col min="4614" max="4614" width="8.28515625" style="15" customWidth="1"/>
    <col min="4615" max="4615" width="10.28515625" style="15" customWidth="1"/>
    <col min="4616" max="4616" width="3" style="15" customWidth="1"/>
    <col min="4617" max="4617" width="2.7109375" style="15" customWidth="1"/>
    <col min="4618" max="4618" width="3.28515625" style="15" customWidth="1"/>
    <col min="4619" max="4619" width="2.7109375" style="15" customWidth="1"/>
    <col min="4620" max="4620" width="7.28515625" style="15" customWidth="1"/>
    <col min="4621" max="4621" width="5" style="15" customWidth="1"/>
    <col min="4622" max="4622" width="33.7109375" style="15" customWidth="1"/>
    <col min="4623" max="4623" width="7.7109375" style="15" customWidth="1"/>
    <col min="4624" max="4624" width="0" style="15" hidden="1" customWidth="1"/>
    <col min="4625" max="4625" width="8.140625" style="15" customWidth="1"/>
    <col min="4626" max="4626" width="3.7109375" style="15" customWidth="1"/>
    <col min="4627" max="4627" width="7.7109375" style="15" customWidth="1"/>
    <col min="4628" max="4628" width="0" style="15" hidden="1" customWidth="1"/>
    <col min="4629" max="4629" width="7.7109375" style="15" customWidth="1"/>
    <col min="4630" max="4630" width="2.7109375" style="15" customWidth="1"/>
    <col min="4631" max="4631" width="1.28515625" style="15" customWidth="1"/>
    <col min="4632" max="4861" width="9.140625" style="15"/>
    <col min="4862" max="4862" width="1.28515625" style="15" customWidth="1"/>
    <col min="4863" max="4863" width="2.7109375" style="15" customWidth="1"/>
    <col min="4864" max="4864" width="12.28515625" style="15" customWidth="1"/>
    <col min="4865" max="4865" width="8.85546875" style="15" customWidth="1"/>
    <col min="4866" max="4866" width="10.7109375" style="15" customWidth="1"/>
    <col min="4867" max="4867" width="9.140625" style="15"/>
    <col min="4868" max="4869" width="11.5703125" style="15" customWidth="1"/>
    <col min="4870" max="4870" width="8.28515625" style="15" customWidth="1"/>
    <col min="4871" max="4871" width="10.28515625" style="15" customWidth="1"/>
    <col min="4872" max="4872" width="3" style="15" customWidth="1"/>
    <col min="4873" max="4873" width="2.7109375" style="15" customWidth="1"/>
    <col min="4874" max="4874" width="3.28515625" style="15" customWidth="1"/>
    <col min="4875" max="4875" width="2.7109375" style="15" customWidth="1"/>
    <col min="4876" max="4876" width="7.28515625" style="15" customWidth="1"/>
    <col min="4877" max="4877" width="5" style="15" customWidth="1"/>
    <col min="4878" max="4878" width="33.7109375" style="15" customWidth="1"/>
    <col min="4879" max="4879" width="7.7109375" style="15" customWidth="1"/>
    <col min="4880" max="4880" width="0" style="15" hidden="1" customWidth="1"/>
    <col min="4881" max="4881" width="8.140625" style="15" customWidth="1"/>
    <col min="4882" max="4882" width="3.7109375" style="15" customWidth="1"/>
    <col min="4883" max="4883" width="7.7109375" style="15" customWidth="1"/>
    <col min="4884" max="4884" width="0" style="15" hidden="1" customWidth="1"/>
    <col min="4885" max="4885" width="7.7109375" style="15" customWidth="1"/>
    <col min="4886" max="4886" width="2.7109375" style="15" customWidth="1"/>
    <col min="4887" max="4887" width="1.28515625" style="15" customWidth="1"/>
    <col min="4888" max="5117" width="9.140625" style="15"/>
    <col min="5118" max="5118" width="1.28515625" style="15" customWidth="1"/>
    <col min="5119" max="5119" width="2.7109375" style="15" customWidth="1"/>
    <col min="5120" max="5120" width="12.28515625" style="15" customWidth="1"/>
    <col min="5121" max="5121" width="8.85546875" style="15" customWidth="1"/>
    <col min="5122" max="5122" width="10.7109375" style="15" customWidth="1"/>
    <col min="5123" max="5123" width="9.140625" style="15"/>
    <col min="5124" max="5125" width="11.5703125" style="15" customWidth="1"/>
    <col min="5126" max="5126" width="8.28515625" style="15" customWidth="1"/>
    <col min="5127" max="5127" width="10.28515625" style="15" customWidth="1"/>
    <col min="5128" max="5128" width="3" style="15" customWidth="1"/>
    <col min="5129" max="5129" width="2.7109375" style="15" customWidth="1"/>
    <col min="5130" max="5130" width="3.28515625" style="15" customWidth="1"/>
    <col min="5131" max="5131" width="2.7109375" style="15" customWidth="1"/>
    <col min="5132" max="5132" width="7.28515625" style="15" customWidth="1"/>
    <col min="5133" max="5133" width="5" style="15" customWidth="1"/>
    <col min="5134" max="5134" width="33.7109375" style="15" customWidth="1"/>
    <col min="5135" max="5135" width="7.7109375" style="15" customWidth="1"/>
    <col min="5136" max="5136" width="0" style="15" hidden="1" customWidth="1"/>
    <col min="5137" max="5137" width="8.140625" style="15" customWidth="1"/>
    <col min="5138" max="5138" width="3.7109375" style="15" customWidth="1"/>
    <col min="5139" max="5139" width="7.7109375" style="15" customWidth="1"/>
    <col min="5140" max="5140" width="0" style="15" hidden="1" customWidth="1"/>
    <col min="5141" max="5141" width="7.7109375" style="15" customWidth="1"/>
    <col min="5142" max="5142" width="2.7109375" style="15" customWidth="1"/>
    <col min="5143" max="5143" width="1.28515625" style="15" customWidth="1"/>
    <col min="5144" max="5373" width="9.140625" style="15"/>
    <col min="5374" max="5374" width="1.28515625" style="15" customWidth="1"/>
    <col min="5375" max="5375" width="2.7109375" style="15" customWidth="1"/>
    <col min="5376" max="5376" width="12.28515625" style="15" customWidth="1"/>
    <col min="5377" max="5377" width="8.85546875" style="15" customWidth="1"/>
    <col min="5378" max="5378" width="10.7109375" style="15" customWidth="1"/>
    <col min="5379" max="5379" width="9.140625" style="15"/>
    <col min="5380" max="5381" width="11.5703125" style="15" customWidth="1"/>
    <col min="5382" max="5382" width="8.28515625" style="15" customWidth="1"/>
    <col min="5383" max="5383" width="10.28515625" style="15" customWidth="1"/>
    <col min="5384" max="5384" width="3" style="15" customWidth="1"/>
    <col min="5385" max="5385" width="2.7109375" style="15" customWidth="1"/>
    <col min="5386" max="5386" width="3.28515625" style="15" customWidth="1"/>
    <col min="5387" max="5387" width="2.7109375" style="15" customWidth="1"/>
    <col min="5388" max="5388" width="7.28515625" style="15" customWidth="1"/>
    <col min="5389" max="5389" width="5" style="15" customWidth="1"/>
    <col min="5390" max="5390" width="33.7109375" style="15" customWidth="1"/>
    <col min="5391" max="5391" width="7.7109375" style="15" customWidth="1"/>
    <col min="5392" max="5392" width="0" style="15" hidden="1" customWidth="1"/>
    <col min="5393" max="5393" width="8.140625" style="15" customWidth="1"/>
    <col min="5394" max="5394" width="3.7109375" style="15" customWidth="1"/>
    <col min="5395" max="5395" width="7.7109375" style="15" customWidth="1"/>
    <col min="5396" max="5396" width="0" style="15" hidden="1" customWidth="1"/>
    <col min="5397" max="5397" width="7.7109375" style="15" customWidth="1"/>
    <col min="5398" max="5398" width="2.7109375" style="15" customWidth="1"/>
    <col min="5399" max="5399" width="1.28515625" style="15" customWidth="1"/>
    <col min="5400" max="5629" width="9.140625" style="15"/>
    <col min="5630" max="5630" width="1.28515625" style="15" customWidth="1"/>
    <col min="5631" max="5631" width="2.7109375" style="15" customWidth="1"/>
    <col min="5632" max="5632" width="12.28515625" style="15" customWidth="1"/>
    <col min="5633" max="5633" width="8.85546875" style="15" customWidth="1"/>
    <col min="5634" max="5634" width="10.7109375" style="15" customWidth="1"/>
    <col min="5635" max="5635" width="9.140625" style="15"/>
    <col min="5636" max="5637" width="11.5703125" style="15" customWidth="1"/>
    <col min="5638" max="5638" width="8.28515625" style="15" customWidth="1"/>
    <col min="5639" max="5639" width="10.28515625" style="15" customWidth="1"/>
    <col min="5640" max="5640" width="3" style="15" customWidth="1"/>
    <col min="5641" max="5641" width="2.7109375" style="15" customWidth="1"/>
    <col min="5642" max="5642" width="3.28515625" style="15" customWidth="1"/>
    <col min="5643" max="5643" width="2.7109375" style="15" customWidth="1"/>
    <col min="5644" max="5644" width="7.28515625" style="15" customWidth="1"/>
    <col min="5645" max="5645" width="5" style="15" customWidth="1"/>
    <col min="5646" max="5646" width="33.7109375" style="15" customWidth="1"/>
    <col min="5647" max="5647" width="7.7109375" style="15" customWidth="1"/>
    <col min="5648" max="5648" width="0" style="15" hidden="1" customWidth="1"/>
    <col min="5649" max="5649" width="8.140625" style="15" customWidth="1"/>
    <col min="5650" max="5650" width="3.7109375" style="15" customWidth="1"/>
    <col min="5651" max="5651" width="7.7109375" style="15" customWidth="1"/>
    <col min="5652" max="5652" width="0" style="15" hidden="1" customWidth="1"/>
    <col min="5653" max="5653" width="7.7109375" style="15" customWidth="1"/>
    <col min="5654" max="5654" width="2.7109375" style="15" customWidth="1"/>
    <col min="5655" max="5655" width="1.28515625" style="15" customWidth="1"/>
    <col min="5656" max="5885" width="9.140625" style="15"/>
    <col min="5886" max="5886" width="1.28515625" style="15" customWidth="1"/>
    <col min="5887" max="5887" width="2.7109375" style="15" customWidth="1"/>
    <col min="5888" max="5888" width="12.28515625" style="15" customWidth="1"/>
    <col min="5889" max="5889" width="8.85546875" style="15" customWidth="1"/>
    <col min="5890" max="5890" width="10.7109375" style="15" customWidth="1"/>
    <col min="5891" max="5891" width="9.140625" style="15"/>
    <col min="5892" max="5893" width="11.5703125" style="15" customWidth="1"/>
    <col min="5894" max="5894" width="8.28515625" style="15" customWidth="1"/>
    <col min="5895" max="5895" width="10.28515625" style="15" customWidth="1"/>
    <col min="5896" max="5896" width="3" style="15" customWidth="1"/>
    <col min="5897" max="5897" width="2.7109375" style="15" customWidth="1"/>
    <col min="5898" max="5898" width="3.28515625" style="15" customWidth="1"/>
    <col min="5899" max="5899" width="2.7109375" style="15" customWidth="1"/>
    <col min="5900" max="5900" width="7.28515625" style="15" customWidth="1"/>
    <col min="5901" max="5901" width="5" style="15" customWidth="1"/>
    <col min="5902" max="5902" width="33.7109375" style="15" customWidth="1"/>
    <col min="5903" max="5903" width="7.7109375" style="15" customWidth="1"/>
    <col min="5904" max="5904" width="0" style="15" hidden="1" customWidth="1"/>
    <col min="5905" max="5905" width="8.140625" style="15" customWidth="1"/>
    <col min="5906" max="5906" width="3.7109375" style="15" customWidth="1"/>
    <col min="5907" max="5907" width="7.7109375" style="15" customWidth="1"/>
    <col min="5908" max="5908" width="0" style="15" hidden="1" customWidth="1"/>
    <col min="5909" max="5909" width="7.7109375" style="15" customWidth="1"/>
    <col min="5910" max="5910" width="2.7109375" style="15" customWidth="1"/>
    <col min="5911" max="5911" width="1.28515625" style="15" customWidth="1"/>
    <col min="5912" max="6141" width="9.140625" style="15"/>
    <col min="6142" max="6142" width="1.28515625" style="15" customWidth="1"/>
    <col min="6143" max="6143" width="2.7109375" style="15" customWidth="1"/>
    <col min="6144" max="6144" width="12.28515625" style="15" customWidth="1"/>
    <col min="6145" max="6145" width="8.85546875" style="15" customWidth="1"/>
    <col min="6146" max="6146" width="10.7109375" style="15" customWidth="1"/>
    <col min="6147" max="6147" width="9.140625" style="15"/>
    <col min="6148" max="6149" width="11.5703125" style="15" customWidth="1"/>
    <col min="6150" max="6150" width="8.28515625" style="15" customWidth="1"/>
    <col min="6151" max="6151" width="10.28515625" style="15" customWidth="1"/>
    <col min="6152" max="6152" width="3" style="15" customWidth="1"/>
    <col min="6153" max="6153" width="2.7109375" style="15" customWidth="1"/>
    <col min="6154" max="6154" width="3.28515625" style="15" customWidth="1"/>
    <col min="6155" max="6155" width="2.7109375" style="15" customWidth="1"/>
    <col min="6156" max="6156" width="7.28515625" style="15" customWidth="1"/>
    <col min="6157" max="6157" width="5" style="15" customWidth="1"/>
    <col min="6158" max="6158" width="33.7109375" style="15" customWidth="1"/>
    <col min="6159" max="6159" width="7.7109375" style="15" customWidth="1"/>
    <col min="6160" max="6160" width="0" style="15" hidden="1" customWidth="1"/>
    <col min="6161" max="6161" width="8.140625" style="15" customWidth="1"/>
    <col min="6162" max="6162" width="3.7109375" style="15" customWidth="1"/>
    <col min="6163" max="6163" width="7.7109375" style="15" customWidth="1"/>
    <col min="6164" max="6164" width="0" style="15" hidden="1" customWidth="1"/>
    <col min="6165" max="6165" width="7.7109375" style="15" customWidth="1"/>
    <col min="6166" max="6166" width="2.7109375" style="15" customWidth="1"/>
    <col min="6167" max="6167" width="1.28515625" style="15" customWidth="1"/>
    <col min="6168" max="6397" width="9.140625" style="15"/>
    <col min="6398" max="6398" width="1.28515625" style="15" customWidth="1"/>
    <col min="6399" max="6399" width="2.7109375" style="15" customWidth="1"/>
    <col min="6400" max="6400" width="12.28515625" style="15" customWidth="1"/>
    <col min="6401" max="6401" width="8.85546875" style="15" customWidth="1"/>
    <col min="6402" max="6402" width="10.7109375" style="15" customWidth="1"/>
    <col min="6403" max="6403" width="9.140625" style="15"/>
    <col min="6404" max="6405" width="11.5703125" style="15" customWidth="1"/>
    <col min="6406" max="6406" width="8.28515625" style="15" customWidth="1"/>
    <col min="6407" max="6407" width="10.28515625" style="15" customWidth="1"/>
    <col min="6408" max="6408" width="3" style="15" customWidth="1"/>
    <col min="6409" max="6409" width="2.7109375" style="15" customWidth="1"/>
    <col min="6410" max="6410" width="3.28515625" style="15" customWidth="1"/>
    <col min="6411" max="6411" width="2.7109375" style="15" customWidth="1"/>
    <col min="6412" max="6412" width="7.28515625" style="15" customWidth="1"/>
    <col min="6413" max="6413" width="5" style="15" customWidth="1"/>
    <col min="6414" max="6414" width="33.7109375" style="15" customWidth="1"/>
    <col min="6415" max="6415" width="7.7109375" style="15" customWidth="1"/>
    <col min="6416" max="6416" width="0" style="15" hidden="1" customWidth="1"/>
    <col min="6417" max="6417" width="8.140625" style="15" customWidth="1"/>
    <col min="6418" max="6418" width="3.7109375" style="15" customWidth="1"/>
    <col min="6419" max="6419" width="7.7109375" style="15" customWidth="1"/>
    <col min="6420" max="6420" width="0" style="15" hidden="1" customWidth="1"/>
    <col min="6421" max="6421" width="7.7109375" style="15" customWidth="1"/>
    <col min="6422" max="6422" width="2.7109375" style="15" customWidth="1"/>
    <col min="6423" max="6423" width="1.28515625" style="15" customWidth="1"/>
    <col min="6424" max="6653" width="9.140625" style="15"/>
    <col min="6654" max="6654" width="1.28515625" style="15" customWidth="1"/>
    <col min="6655" max="6655" width="2.7109375" style="15" customWidth="1"/>
    <col min="6656" max="6656" width="12.28515625" style="15" customWidth="1"/>
    <col min="6657" max="6657" width="8.85546875" style="15" customWidth="1"/>
    <col min="6658" max="6658" width="10.7109375" style="15" customWidth="1"/>
    <col min="6659" max="6659" width="9.140625" style="15"/>
    <col min="6660" max="6661" width="11.5703125" style="15" customWidth="1"/>
    <col min="6662" max="6662" width="8.28515625" style="15" customWidth="1"/>
    <col min="6663" max="6663" width="10.28515625" style="15" customWidth="1"/>
    <col min="6664" max="6664" width="3" style="15" customWidth="1"/>
    <col min="6665" max="6665" width="2.7109375" style="15" customWidth="1"/>
    <col min="6666" max="6666" width="3.28515625" style="15" customWidth="1"/>
    <col min="6667" max="6667" width="2.7109375" style="15" customWidth="1"/>
    <col min="6668" max="6668" width="7.28515625" style="15" customWidth="1"/>
    <col min="6669" max="6669" width="5" style="15" customWidth="1"/>
    <col min="6670" max="6670" width="33.7109375" style="15" customWidth="1"/>
    <col min="6671" max="6671" width="7.7109375" style="15" customWidth="1"/>
    <col min="6672" max="6672" width="0" style="15" hidden="1" customWidth="1"/>
    <col min="6673" max="6673" width="8.140625" style="15" customWidth="1"/>
    <col min="6674" max="6674" width="3.7109375" style="15" customWidth="1"/>
    <col min="6675" max="6675" width="7.7109375" style="15" customWidth="1"/>
    <col min="6676" max="6676" width="0" style="15" hidden="1" customWidth="1"/>
    <col min="6677" max="6677" width="7.7109375" style="15" customWidth="1"/>
    <col min="6678" max="6678" width="2.7109375" style="15" customWidth="1"/>
    <col min="6679" max="6679" width="1.28515625" style="15" customWidth="1"/>
    <col min="6680" max="6909" width="9.140625" style="15"/>
    <col min="6910" max="6910" width="1.28515625" style="15" customWidth="1"/>
    <col min="6911" max="6911" width="2.7109375" style="15" customWidth="1"/>
    <col min="6912" max="6912" width="12.28515625" style="15" customWidth="1"/>
    <col min="6913" max="6913" width="8.85546875" style="15" customWidth="1"/>
    <col min="6914" max="6914" width="10.7109375" style="15" customWidth="1"/>
    <col min="6915" max="6915" width="9.140625" style="15"/>
    <col min="6916" max="6917" width="11.5703125" style="15" customWidth="1"/>
    <col min="6918" max="6918" width="8.28515625" style="15" customWidth="1"/>
    <col min="6919" max="6919" width="10.28515625" style="15" customWidth="1"/>
    <col min="6920" max="6920" width="3" style="15" customWidth="1"/>
    <col min="6921" max="6921" width="2.7109375" style="15" customWidth="1"/>
    <col min="6922" max="6922" width="3.28515625" style="15" customWidth="1"/>
    <col min="6923" max="6923" width="2.7109375" style="15" customWidth="1"/>
    <col min="6924" max="6924" width="7.28515625" style="15" customWidth="1"/>
    <col min="6925" max="6925" width="5" style="15" customWidth="1"/>
    <col min="6926" max="6926" width="33.7109375" style="15" customWidth="1"/>
    <col min="6927" max="6927" width="7.7109375" style="15" customWidth="1"/>
    <col min="6928" max="6928" width="0" style="15" hidden="1" customWidth="1"/>
    <col min="6929" max="6929" width="8.140625" style="15" customWidth="1"/>
    <col min="6930" max="6930" width="3.7109375" style="15" customWidth="1"/>
    <col min="6931" max="6931" width="7.7109375" style="15" customWidth="1"/>
    <col min="6932" max="6932" width="0" style="15" hidden="1" customWidth="1"/>
    <col min="6933" max="6933" width="7.7109375" style="15" customWidth="1"/>
    <col min="6934" max="6934" width="2.7109375" style="15" customWidth="1"/>
    <col min="6935" max="6935" width="1.28515625" style="15" customWidth="1"/>
    <col min="6936" max="7165" width="9.140625" style="15"/>
    <col min="7166" max="7166" width="1.28515625" style="15" customWidth="1"/>
    <col min="7167" max="7167" width="2.7109375" style="15" customWidth="1"/>
    <col min="7168" max="7168" width="12.28515625" style="15" customWidth="1"/>
    <col min="7169" max="7169" width="8.85546875" style="15" customWidth="1"/>
    <col min="7170" max="7170" width="10.7109375" style="15" customWidth="1"/>
    <col min="7171" max="7171" width="9.140625" style="15"/>
    <col min="7172" max="7173" width="11.5703125" style="15" customWidth="1"/>
    <col min="7174" max="7174" width="8.28515625" style="15" customWidth="1"/>
    <col min="7175" max="7175" width="10.28515625" style="15" customWidth="1"/>
    <col min="7176" max="7176" width="3" style="15" customWidth="1"/>
    <col min="7177" max="7177" width="2.7109375" style="15" customWidth="1"/>
    <col min="7178" max="7178" width="3.28515625" style="15" customWidth="1"/>
    <col min="7179" max="7179" width="2.7109375" style="15" customWidth="1"/>
    <col min="7180" max="7180" width="7.28515625" style="15" customWidth="1"/>
    <col min="7181" max="7181" width="5" style="15" customWidth="1"/>
    <col min="7182" max="7182" width="33.7109375" style="15" customWidth="1"/>
    <col min="7183" max="7183" width="7.7109375" style="15" customWidth="1"/>
    <col min="7184" max="7184" width="0" style="15" hidden="1" customWidth="1"/>
    <col min="7185" max="7185" width="8.140625" style="15" customWidth="1"/>
    <col min="7186" max="7186" width="3.7109375" style="15" customWidth="1"/>
    <col min="7187" max="7187" width="7.7109375" style="15" customWidth="1"/>
    <col min="7188" max="7188" width="0" style="15" hidden="1" customWidth="1"/>
    <col min="7189" max="7189" width="7.7109375" style="15" customWidth="1"/>
    <col min="7190" max="7190" width="2.7109375" style="15" customWidth="1"/>
    <col min="7191" max="7191" width="1.28515625" style="15" customWidth="1"/>
    <col min="7192" max="7421" width="9.140625" style="15"/>
    <col min="7422" max="7422" width="1.28515625" style="15" customWidth="1"/>
    <col min="7423" max="7423" width="2.7109375" style="15" customWidth="1"/>
    <col min="7424" max="7424" width="12.28515625" style="15" customWidth="1"/>
    <col min="7425" max="7425" width="8.85546875" style="15" customWidth="1"/>
    <col min="7426" max="7426" width="10.7109375" style="15" customWidth="1"/>
    <col min="7427" max="7427" width="9.140625" style="15"/>
    <col min="7428" max="7429" width="11.5703125" style="15" customWidth="1"/>
    <col min="7430" max="7430" width="8.28515625" style="15" customWidth="1"/>
    <col min="7431" max="7431" width="10.28515625" style="15" customWidth="1"/>
    <col min="7432" max="7432" width="3" style="15" customWidth="1"/>
    <col min="7433" max="7433" width="2.7109375" style="15" customWidth="1"/>
    <col min="7434" max="7434" width="3.28515625" style="15" customWidth="1"/>
    <col min="7435" max="7435" width="2.7109375" style="15" customWidth="1"/>
    <col min="7436" max="7436" width="7.28515625" style="15" customWidth="1"/>
    <col min="7437" max="7437" width="5" style="15" customWidth="1"/>
    <col min="7438" max="7438" width="33.7109375" style="15" customWidth="1"/>
    <col min="7439" max="7439" width="7.7109375" style="15" customWidth="1"/>
    <col min="7440" max="7440" width="0" style="15" hidden="1" customWidth="1"/>
    <col min="7441" max="7441" width="8.140625" style="15" customWidth="1"/>
    <col min="7442" max="7442" width="3.7109375" style="15" customWidth="1"/>
    <col min="7443" max="7443" width="7.7109375" style="15" customWidth="1"/>
    <col min="7444" max="7444" width="0" style="15" hidden="1" customWidth="1"/>
    <col min="7445" max="7445" width="7.7109375" style="15" customWidth="1"/>
    <col min="7446" max="7446" width="2.7109375" style="15" customWidth="1"/>
    <col min="7447" max="7447" width="1.28515625" style="15" customWidth="1"/>
    <col min="7448" max="7677" width="9.140625" style="15"/>
    <col min="7678" max="7678" width="1.28515625" style="15" customWidth="1"/>
    <col min="7679" max="7679" width="2.7109375" style="15" customWidth="1"/>
    <col min="7680" max="7680" width="12.28515625" style="15" customWidth="1"/>
    <col min="7681" max="7681" width="8.85546875" style="15" customWidth="1"/>
    <col min="7682" max="7682" width="10.7109375" style="15" customWidth="1"/>
    <col min="7683" max="7683" width="9.140625" style="15"/>
    <col min="7684" max="7685" width="11.5703125" style="15" customWidth="1"/>
    <col min="7686" max="7686" width="8.28515625" style="15" customWidth="1"/>
    <col min="7687" max="7687" width="10.28515625" style="15" customWidth="1"/>
    <col min="7688" max="7688" width="3" style="15" customWidth="1"/>
    <col min="7689" max="7689" width="2.7109375" style="15" customWidth="1"/>
    <col min="7690" max="7690" width="3.28515625" style="15" customWidth="1"/>
    <col min="7691" max="7691" width="2.7109375" style="15" customWidth="1"/>
    <col min="7692" max="7692" width="7.28515625" style="15" customWidth="1"/>
    <col min="7693" max="7693" width="5" style="15" customWidth="1"/>
    <col min="7694" max="7694" width="33.7109375" style="15" customWidth="1"/>
    <col min="7695" max="7695" width="7.7109375" style="15" customWidth="1"/>
    <col min="7696" max="7696" width="0" style="15" hidden="1" customWidth="1"/>
    <col min="7697" max="7697" width="8.140625" style="15" customWidth="1"/>
    <col min="7698" max="7698" width="3.7109375" style="15" customWidth="1"/>
    <col min="7699" max="7699" width="7.7109375" style="15" customWidth="1"/>
    <col min="7700" max="7700" width="0" style="15" hidden="1" customWidth="1"/>
    <col min="7701" max="7701" width="7.7109375" style="15" customWidth="1"/>
    <col min="7702" max="7702" width="2.7109375" style="15" customWidth="1"/>
    <col min="7703" max="7703" width="1.28515625" style="15" customWidth="1"/>
    <col min="7704" max="7933" width="9.140625" style="15"/>
    <col min="7934" max="7934" width="1.28515625" style="15" customWidth="1"/>
    <col min="7935" max="7935" width="2.7109375" style="15" customWidth="1"/>
    <col min="7936" max="7936" width="12.28515625" style="15" customWidth="1"/>
    <col min="7937" max="7937" width="8.85546875" style="15" customWidth="1"/>
    <col min="7938" max="7938" width="10.7109375" style="15" customWidth="1"/>
    <col min="7939" max="7939" width="9.140625" style="15"/>
    <col min="7940" max="7941" width="11.5703125" style="15" customWidth="1"/>
    <col min="7942" max="7942" width="8.28515625" style="15" customWidth="1"/>
    <col min="7943" max="7943" width="10.28515625" style="15" customWidth="1"/>
    <col min="7944" max="7944" width="3" style="15" customWidth="1"/>
    <col min="7945" max="7945" width="2.7109375" style="15" customWidth="1"/>
    <col min="7946" max="7946" width="3.28515625" style="15" customWidth="1"/>
    <col min="7947" max="7947" width="2.7109375" style="15" customWidth="1"/>
    <col min="7948" max="7948" width="7.28515625" style="15" customWidth="1"/>
    <col min="7949" max="7949" width="5" style="15" customWidth="1"/>
    <col min="7950" max="7950" width="33.7109375" style="15" customWidth="1"/>
    <col min="7951" max="7951" width="7.7109375" style="15" customWidth="1"/>
    <col min="7952" max="7952" width="0" style="15" hidden="1" customWidth="1"/>
    <col min="7953" max="7953" width="8.140625" style="15" customWidth="1"/>
    <col min="7954" max="7954" width="3.7109375" style="15" customWidth="1"/>
    <col min="7955" max="7955" width="7.7109375" style="15" customWidth="1"/>
    <col min="7956" max="7956" width="0" style="15" hidden="1" customWidth="1"/>
    <col min="7957" max="7957" width="7.7109375" style="15" customWidth="1"/>
    <col min="7958" max="7958" width="2.7109375" style="15" customWidth="1"/>
    <col min="7959" max="7959" width="1.28515625" style="15" customWidth="1"/>
    <col min="7960" max="8189" width="9.140625" style="15"/>
    <col min="8190" max="8190" width="1.28515625" style="15" customWidth="1"/>
    <col min="8191" max="8191" width="2.7109375" style="15" customWidth="1"/>
    <col min="8192" max="8192" width="12.28515625" style="15" customWidth="1"/>
    <col min="8193" max="8193" width="8.85546875" style="15" customWidth="1"/>
    <col min="8194" max="8194" width="10.7109375" style="15" customWidth="1"/>
    <col min="8195" max="8195" width="9.140625" style="15"/>
    <col min="8196" max="8197" width="11.5703125" style="15" customWidth="1"/>
    <col min="8198" max="8198" width="8.28515625" style="15" customWidth="1"/>
    <col min="8199" max="8199" width="10.28515625" style="15" customWidth="1"/>
    <col min="8200" max="8200" width="3" style="15" customWidth="1"/>
    <col min="8201" max="8201" width="2.7109375" style="15" customWidth="1"/>
    <col min="8202" max="8202" width="3.28515625" style="15" customWidth="1"/>
    <col min="8203" max="8203" width="2.7109375" style="15" customWidth="1"/>
    <col min="8204" max="8204" width="7.28515625" style="15" customWidth="1"/>
    <col min="8205" max="8205" width="5" style="15" customWidth="1"/>
    <col min="8206" max="8206" width="33.7109375" style="15" customWidth="1"/>
    <col min="8207" max="8207" width="7.7109375" style="15" customWidth="1"/>
    <col min="8208" max="8208" width="0" style="15" hidden="1" customWidth="1"/>
    <col min="8209" max="8209" width="8.140625" style="15" customWidth="1"/>
    <col min="8210" max="8210" width="3.7109375" style="15" customWidth="1"/>
    <col min="8211" max="8211" width="7.7109375" style="15" customWidth="1"/>
    <col min="8212" max="8212" width="0" style="15" hidden="1" customWidth="1"/>
    <col min="8213" max="8213" width="7.7109375" style="15" customWidth="1"/>
    <col min="8214" max="8214" width="2.7109375" style="15" customWidth="1"/>
    <col min="8215" max="8215" width="1.28515625" style="15" customWidth="1"/>
    <col min="8216" max="8445" width="9.140625" style="15"/>
    <col min="8446" max="8446" width="1.28515625" style="15" customWidth="1"/>
    <col min="8447" max="8447" width="2.7109375" style="15" customWidth="1"/>
    <col min="8448" max="8448" width="12.28515625" style="15" customWidth="1"/>
    <col min="8449" max="8449" width="8.85546875" style="15" customWidth="1"/>
    <col min="8450" max="8450" width="10.7109375" style="15" customWidth="1"/>
    <col min="8451" max="8451" width="9.140625" style="15"/>
    <col min="8452" max="8453" width="11.5703125" style="15" customWidth="1"/>
    <col min="8454" max="8454" width="8.28515625" style="15" customWidth="1"/>
    <col min="8455" max="8455" width="10.28515625" style="15" customWidth="1"/>
    <col min="8456" max="8456" width="3" style="15" customWidth="1"/>
    <col min="8457" max="8457" width="2.7109375" style="15" customWidth="1"/>
    <col min="8458" max="8458" width="3.28515625" style="15" customWidth="1"/>
    <col min="8459" max="8459" width="2.7109375" style="15" customWidth="1"/>
    <col min="8460" max="8460" width="7.28515625" style="15" customWidth="1"/>
    <col min="8461" max="8461" width="5" style="15" customWidth="1"/>
    <col min="8462" max="8462" width="33.7109375" style="15" customWidth="1"/>
    <col min="8463" max="8463" width="7.7109375" style="15" customWidth="1"/>
    <col min="8464" max="8464" width="0" style="15" hidden="1" customWidth="1"/>
    <col min="8465" max="8465" width="8.140625" style="15" customWidth="1"/>
    <col min="8466" max="8466" width="3.7109375" style="15" customWidth="1"/>
    <col min="8467" max="8467" width="7.7109375" style="15" customWidth="1"/>
    <col min="8468" max="8468" width="0" style="15" hidden="1" customWidth="1"/>
    <col min="8469" max="8469" width="7.7109375" style="15" customWidth="1"/>
    <col min="8470" max="8470" width="2.7109375" style="15" customWidth="1"/>
    <col min="8471" max="8471" width="1.28515625" style="15" customWidth="1"/>
    <col min="8472" max="8701" width="9.140625" style="15"/>
    <col min="8702" max="8702" width="1.28515625" style="15" customWidth="1"/>
    <col min="8703" max="8703" width="2.7109375" style="15" customWidth="1"/>
    <col min="8704" max="8704" width="12.28515625" style="15" customWidth="1"/>
    <col min="8705" max="8705" width="8.85546875" style="15" customWidth="1"/>
    <col min="8706" max="8706" width="10.7109375" style="15" customWidth="1"/>
    <col min="8707" max="8707" width="9.140625" style="15"/>
    <col min="8708" max="8709" width="11.5703125" style="15" customWidth="1"/>
    <col min="8710" max="8710" width="8.28515625" style="15" customWidth="1"/>
    <col min="8711" max="8711" width="10.28515625" style="15" customWidth="1"/>
    <col min="8712" max="8712" width="3" style="15" customWidth="1"/>
    <col min="8713" max="8713" width="2.7109375" style="15" customWidth="1"/>
    <col min="8714" max="8714" width="3.28515625" style="15" customWidth="1"/>
    <col min="8715" max="8715" width="2.7109375" style="15" customWidth="1"/>
    <col min="8716" max="8716" width="7.28515625" style="15" customWidth="1"/>
    <col min="8717" max="8717" width="5" style="15" customWidth="1"/>
    <col min="8718" max="8718" width="33.7109375" style="15" customWidth="1"/>
    <col min="8719" max="8719" width="7.7109375" style="15" customWidth="1"/>
    <col min="8720" max="8720" width="0" style="15" hidden="1" customWidth="1"/>
    <col min="8721" max="8721" width="8.140625" style="15" customWidth="1"/>
    <col min="8722" max="8722" width="3.7109375" style="15" customWidth="1"/>
    <col min="8723" max="8723" width="7.7109375" style="15" customWidth="1"/>
    <col min="8724" max="8724" width="0" style="15" hidden="1" customWidth="1"/>
    <col min="8725" max="8725" width="7.7109375" style="15" customWidth="1"/>
    <col min="8726" max="8726" width="2.7109375" style="15" customWidth="1"/>
    <col min="8727" max="8727" width="1.28515625" style="15" customWidth="1"/>
    <col min="8728" max="8957" width="9.140625" style="15"/>
    <col min="8958" max="8958" width="1.28515625" style="15" customWidth="1"/>
    <col min="8959" max="8959" width="2.7109375" style="15" customWidth="1"/>
    <col min="8960" max="8960" width="12.28515625" style="15" customWidth="1"/>
    <col min="8961" max="8961" width="8.85546875" style="15" customWidth="1"/>
    <col min="8962" max="8962" width="10.7109375" style="15" customWidth="1"/>
    <col min="8963" max="8963" width="9.140625" style="15"/>
    <col min="8964" max="8965" width="11.5703125" style="15" customWidth="1"/>
    <col min="8966" max="8966" width="8.28515625" style="15" customWidth="1"/>
    <col min="8967" max="8967" width="10.28515625" style="15" customWidth="1"/>
    <col min="8968" max="8968" width="3" style="15" customWidth="1"/>
    <col min="8969" max="8969" width="2.7109375" style="15" customWidth="1"/>
    <col min="8970" max="8970" width="3.28515625" style="15" customWidth="1"/>
    <col min="8971" max="8971" width="2.7109375" style="15" customWidth="1"/>
    <col min="8972" max="8972" width="7.28515625" style="15" customWidth="1"/>
    <col min="8973" max="8973" width="5" style="15" customWidth="1"/>
    <col min="8974" max="8974" width="33.7109375" style="15" customWidth="1"/>
    <col min="8975" max="8975" width="7.7109375" style="15" customWidth="1"/>
    <col min="8976" max="8976" width="0" style="15" hidden="1" customWidth="1"/>
    <col min="8977" max="8977" width="8.140625" style="15" customWidth="1"/>
    <col min="8978" max="8978" width="3.7109375" style="15" customWidth="1"/>
    <col min="8979" max="8979" width="7.7109375" style="15" customWidth="1"/>
    <col min="8980" max="8980" width="0" style="15" hidden="1" customWidth="1"/>
    <col min="8981" max="8981" width="7.7109375" style="15" customWidth="1"/>
    <col min="8982" max="8982" width="2.7109375" style="15" customWidth="1"/>
    <col min="8983" max="8983" width="1.28515625" style="15" customWidth="1"/>
    <col min="8984" max="9213" width="9.140625" style="15"/>
    <col min="9214" max="9214" width="1.28515625" style="15" customWidth="1"/>
    <col min="9215" max="9215" width="2.7109375" style="15" customWidth="1"/>
    <col min="9216" max="9216" width="12.28515625" style="15" customWidth="1"/>
    <col min="9217" max="9217" width="8.85546875" style="15" customWidth="1"/>
    <col min="9218" max="9218" width="10.7109375" style="15" customWidth="1"/>
    <col min="9219" max="9219" width="9.140625" style="15"/>
    <col min="9220" max="9221" width="11.5703125" style="15" customWidth="1"/>
    <col min="9222" max="9222" width="8.28515625" style="15" customWidth="1"/>
    <col min="9223" max="9223" width="10.28515625" style="15" customWidth="1"/>
    <col min="9224" max="9224" width="3" style="15" customWidth="1"/>
    <col min="9225" max="9225" width="2.7109375" style="15" customWidth="1"/>
    <col min="9226" max="9226" width="3.28515625" style="15" customWidth="1"/>
    <col min="9227" max="9227" width="2.7109375" style="15" customWidth="1"/>
    <col min="9228" max="9228" width="7.28515625" style="15" customWidth="1"/>
    <col min="9229" max="9229" width="5" style="15" customWidth="1"/>
    <col min="9230" max="9230" width="33.7109375" style="15" customWidth="1"/>
    <col min="9231" max="9231" width="7.7109375" style="15" customWidth="1"/>
    <col min="9232" max="9232" width="0" style="15" hidden="1" customWidth="1"/>
    <col min="9233" max="9233" width="8.140625" style="15" customWidth="1"/>
    <col min="9234" max="9234" width="3.7109375" style="15" customWidth="1"/>
    <col min="9235" max="9235" width="7.7109375" style="15" customWidth="1"/>
    <col min="9236" max="9236" width="0" style="15" hidden="1" customWidth="1"/>
    <col min="9237" max="9237" width="7.7109375" style="15" customWidth="1"/>
    <col min="9238" max="9238" width="2.7109375" style="15" customWidth="1"/>
    <col min="9239" max="9239" width="1.28515625" style="15" customWidth="1"/>
    <col min="9240" max="9469" width="9.140625" style="15"/>
    <col min="9470" max="9470" width="1.28515625" style="15" customWidth="1"/>
    <col min="9471" max="9471" width="2.7109375" style="15" customWidth="1"/>
    <col min="9472" max="9472" width="12.28515625" style="15" customWidth="1"/>
    <col min="9473" max="9473" width="8.85546875" style="15" customWidth="1"/>
    <col min="9474" max="9474" width="10.7109375" style="15" customWidth="1"/>
    <col min="9475" max="9475" width="9.140625" style="15"/>
    <col min="9476" max="9477" width="11.5703125" style="15" customWidth="1"/>
    <col min="9478" max="9478" width="8.28515625" style="15" customWidth="1"/>
    <col min="9479" max="9479" width="10.28515625" style="15" customWidth="1"/>
    <col min="9480" max="9480" width="3" style="15" customWidth="1"/>
    <col min="9481" max="9481" width="2.7109375" style="15" customWidth="1"/>
    <col min="9482" max="9482" width="3.28515625" style="15" customWidth="1"/>
    <col min="9483" max="9483" width="2.7109375" style="15" customWidth="1"/>
    <col min="9484" max="9484" width="7.28515625" style="15" customWidth="1"/>
    <col min="9485" max="9485" width="5" style="15" customWidth="1"/>
    <col min="9486" max="9486" width="33.7109375" style="15" customWidth="1"/>
    <col min="9487" max="9487" width="7.7109375" style="15" customWidth="1"/>
    <col min="9488" max="9488" width="0" style="15" hidden="1" customWidth="1"/>
    <col min="9489" max="9489" width="8.140625" style="15" customWidth="1"/>
    <col min="9490" max="9490" width="3.7109375" style="15" customWidth="1"/>
    <col min="9491" max="9491" width="7.7109375" style="15" customWidth="1"/>
    <col min="9492" max="9492" width="0" style="15" hidden="1" customWidth="1"/>
    <col min="9493" max="9493" width="7.7109375" style="15" customWidth="1"/>
    <col min="9494" max="9494" width="2.7109375" style="15" customWidth="1"/>
    <col min="9495" max="9495" width="1.28515625" style="15" customWidth="1"/>
    <col min="9496" max="9725" width="9.140625" style="15"/>
    <col min="9726" max="9726" width="1.28515625" style="15" customWidth="1"/>
    <col min="9727" max="9727" width="2.7109375" style="15" customWidth="1"/>
    <col min="9728" max="9728" width="12.28515625" style="15" customWidth="1"/>
    <col min="9729" max="9729" width="8.85546875" style="15" customWidth="1"/>
    <col min="9730" max="9730" width="10.7109375" style="15" customWidth="1"/>
    <col min="9731" max="9731" width="9.140625" style="15"/>
    <col min="9732" max="9733" width="11.5703125" style="15" customWidth="1"/>
    <col min="9734" max="9734" width="8.28515625" style="15" customWidth="1"/>
    <col min="9735" max="9735" width="10.28515625" style="15" customWidth="1"/>
    <col min="9736" max="9736" width="3" style="15" customWidth="1"/>
    <col min="9737" max="9737" width="2.7109375" style="15" customWidth="1"/>
    <col min="9738" max="9738" width="3.28515625" style="15" customWidth="1"/>
    <col min="9739" max="9739" width="2.7109375" style="15" customWidth="1"/>
    <col min="9740" max="9740" width="7.28515625" style="15" customWidth="1"/>
    <col min="9741" max="9741" width="5" style="15" customWidth="1"/>
    <col min="9742" max="9742" width="33.7109375" style="15" customWidth="1"/>
    <col min="9743" max="9743" width="7.7109375" style="15" customWidth="1"/>
    <col min="9744" max="9744" width="0" style="15" hidden="1" customWidth="1"/>
    <col min="9745" max="9745" width="8.140625" style="15" customWidth="1"/>
    <col min="9746" max="9746" width="3.7109375" style="15" customWidth="1"/>
    <col min="9747" max="9747" width="7.7109375" style="15" customWidth="1"/>
    <col min="9748" max="9748" width="0" style="15" hidden="1" customWidth="1"/>
    <col min="9749" max="9749" width="7.7109375" style="15" customWidth="1"/>
    <col min="9750" max="9750" width="2.7109375" style="15" customWidth="1"/>
    <col min="9751" max="9751" width="1.28515625" style="15" customWidth="1"/>
    <col min="9752" max="9981" width="9.140625" style="15"/>
    <col min="9982" max="9982" width="1.28515625" style="15" customWidth="1"/>
    <col min="9983" max="9983" width="2.7109375" style="15" customWidth="1"/>
    <col min="9984" max="9984" width="12.28515625" style="15" customWidth="1"/>
    <col min="9985" max="9985" width="8.85546875" style="15" customWidth="1"/>
    <col min="9986" max="9986" width="10.7109375" style="15" customWidth="1"/>
    <col min="9987" max="9987" width="9.140625" style="15"/>
    <col min="9988" max="9989" width="11.5703125" style="15" customWidth="1"/>
    <col min="9990" max="9990" width="8.28515625" style="15" customWidth="1"/>
    <col min="9991" max="9991" width="10.28515625" style="15" customWidth="1"/>
    <col min="9992" max="9992" width="3" style="15" customWidth="1"/>
    <col min="9993" max="9993" width="2.7109375" style="15" customWidth="1"/>
    <col min="9994" max="9994" width="3.28515625" style="15" customWidth="1"/>
    <col min="9995" max="9995" width="2.7109375" style="15" customWidth="1"/>
    <col min="9996" max="9996" width="7.28515625" style="15" customWidth="1"/>
    <col min="9997" max="9997" width="5" style="15" customWidth="1"/>
    <col min="9998" max="9998" width="33.7109375" style="15" customWidth="1"/>
    <col min="9999" max="9999" width="7.7109375" style="15" customWidth="1"/>
    <col min="10000" max="10000" width="0" style="15" hidden="1" customWidth="1"/>
    <col min="10001" max="10001" width="8.140625" style="15" customWidth="1"/>
    <col min="10002" max="10002" width="3.7109375" style="15" customWidth="1"/>
    <col min="10003" max="10003" width="7.7109375" style="15" customWidth="1"/>
    <col min="10004" max="10004" width="0" style="15" hidden="1" customWidth="1"/>
    <col min="10005" max="10005" width="7.7109375" style="15" customWidth="1"/>
    <col min="10006" max="10006" width="2.7109375" style="15" customWidth="1"/>
    <col min="10007" max="10007" width="1.28515625" style="15" customWidth="1"/>
    <col min="10008" max="10237" width="9.140625" style="15"/>
    <col min="10238" max="10238" width="1.28515625" style="15" customWidth="1"/>
    <col min="10239" max="10239" width="2.7109375" style="15" customWidth="1"/>
    <col min="10240" max="10240" width="12.28515625" style="15" customWidth="1"/>
    <col min="10241" max="10241" width="8.85546875" style="15" customWidth="1"/>
    <col min="10242" max="10242" width="10.7109375" style="15" customWidth="1"/>
    <col min="10243" max="10243" width="9.140625" style="15"/>
    <col min="10244" max="10245" width="11.5703125" style="15" customWidth="1"/>
    <col min="10246" max="10246" width="8.28515625" style="15" customWidth="1"/>
    <col min="10247" max="10247" width="10.28515625" style="15" customWidth="1"/>
    <col min="10248" max="10248" width="3" style="15" customWidth="1"/>
    <col min="10249" max="10249" width="2.7109375" style="15" customWidth="1"/>
    <col min="10250" max="10250" width="3.28515625" style="15" customWidth="1"/>
    <col min="10251" max="10251" width="2.7109375" style="15" customWidth="1"/>
    <col min="10252" max="10252" width="7.28515625" style="15" customWidth="1"/>
    <col min="10253" max="10253" width="5" style="15" customWidth="1"/>
    <col min="10254" max="10254" width="33.7109375" style="15" customWidth="1"/>
    <col min="10255" max="10255" width="7.7109375" style="15" customWidth="1"/>
    <col min="10256" max="10256" width="0" style="15" hidden="1" customWidth="1"/>
    <col min="10257" max="10257" width="8.140625" style="15" customWidth="1"/>
    <col min="10258" max="10258" width="3.7109375" style="15" customWidth="1"/>
    <col min="10259" max="10259" width="7.7109375" style="15" customWidth="1"/>
    <col min="10260" max="10260" width="0" style="15" hidden="1" customWidth="1"/>
    <col min="10261" max="10261" width="7.7109375" style="15" customWidth="1"/>
    <col min="10262" max="10262" width="2.7109375" style="15" customWidth="1"/>
    <col min="10263" max="10263" width="1.28515625" style="15" customWidth="1"/>
    <col min="10264" max="10493" width="9.140625" style="15"/>
    <col min="10494" max="10494" width="1.28515625" style="15" customWidth="1"/>
    <col min="10495" max="10495" width="2.7109375" style="15" customWidth="1"/>
    <col min="10496" max="10496" width="12.28515625" style="15" customWidth="1"/>
    <col min="10497" max="10497" width="8.85546875" style="15" customWidth="1"/>
    <col min="10498" max="10498" width="10.7109375" style="15" customWidth="1"/>
    <col min="10499" max="10499" width="9.140625" style="15"/>
    <col min="10500" max="10501" width="11.5703125" style="15" customWidth="1"/>
    <col min="10502" max="10502" width="8.28515625" style="15" customWidth="1"/>
    <col min="10503" max="10503" width="10.28515625" style="15" customWidth="1"/>
    <col min="10504" max="10504" width="3" style="15" customWidth="1"/>
    <col min="10505" max="10505" width="2.7109375" style="15" customWidth="1"/>
    <col min="10506" max="10506" width="3.28515625" style="15" customWidth="1"/>
    <col min="10507" max="10507" width="2.7109375" style="15" customWidth="1"/>
    <col min="10508" max="10508" width="7.28515625" style="15" customWidth="1"/>
    <col min="10509" max="10509" width="5" style="15" customWidth="1"/>
    <col min="10510" max="10510" width="33.7109375" style="15" customWidth="1"/>
    <col min="10511" max="10511" width="7.7109375" style="15" customWidth="1"/>
    <col min="10512" max="10512" width="0" style="15" hidden="1" customWidth="1"/>
    <col min="10513" max="10513" width="8.140625" style="15" customWidth="1"/>
    <col min="10514" max="10514" width="3.7109375" style="15" customWidth="1"/>
    <col min="10515" max="10515" width="7.7109375" style="15" customWidth="1"/>
    <col min="10516" max="10516" width="0" style="15" hidden="1" customWidth="1"/>
    <col min="10517" max="10517" width="7.7109375" style="15" customWidth="1"/>
    <col min="10518" max="10518" width="2.7109375" style="15" customWidth="1"/>
    <col min="10519" max="10519" width="1.28515625" style="15" customWidth="1"/>
    <col min="10520" max="10749" width="9.140625" style="15"/>
    <col min="10750" max="10750" width="1.28515625" style="15" customWidth="1"/>
    <col min="10751" max="10751" width="2.7109375" style="15" customWidth="1"/>
    <col min="10752" max="10752" width="12.28515625" style="15" customWidth="1"/>
    <col min="10753" max="10753" width="8.85546875" style="15" customWidth="1"/>
    <col min="10754" max="10754" width="10.7109375" style="15" customWidth="1"/>
    <col min="10755" max="10755" width="9.140625" style="15"/>
    <col min="10756" max="10757" width="11.5703125" style="15" customWidth="1"/>
    <col min="10758" max="10758" width="8.28515625" style="15" customWidth="1"/>
    <col min="10759" max="10759" width="10.28515625" style="15" customWidth="1"/>
    <col min="10760" max="10760" width="3" style="15" customWidth="1"/>
    <col min="10761" max="10761" width="2.7109375" style="15" customWidth="1"/>
    <col min="10762" max="10762" width="3.28515625" style="15" customWidth="1"/>
    <col min="10763" max="10763" width="2.7109375" style="15" customWidth="1"/>
    <col min="10764" max="10764" width="7.28515625" style="15" customWidth="1"/>
    <col min="10765" max="10765" width="5" style="15" customWidth="1"/>
    <col min="10766" max="10766" width="33.7109375" style="15" customWidth="1"/>
    <col min="10767" max="10767" width="7.7109375" style="15" customWidth="1"/>
    <col min="10768" max="10768" width="0" style="15" hidden="1" customWidth="1"/>
    <col min="10769" max="10769" width="8.140625" style="15" customWidth="1"/>
    <col min="10770" max="10770" width="3.7109375" style="15" customWidth="1"/>
    <col min="10771" max="10771" width="7.7109375" style="15" customWidth="1"/>
    <col min="10772" max="10772" width="0" style="15" hidden="1" customWidth="1"/>
    <col min="10773" max="10773" width="7.7109375" style="15" customWidth="1"/>
    <col min="10774" max="10774" width="2.7109375" style="15" customWidth="1"/>
    <col min="10775" max="10775" width="1.28515625" style="15" customWidth="1"/>
    <col min="10776" max="11005" width="9.140625" style="15"/>
    <col min="11006" max="11006" width="1.28515625" style="15" customWidth="1"/>
    <col min="11007" max="11007" width="2.7109375" style="15" customWidth="1"/>
    <col min="11008" max="11008" width="12.28515625" style="15" customWidth="1"/>
    <col min="11009" max="11009" width="8.85546875" style="15" customWidth="1"/>
    <col min="11010" max="11010" width="10.7109375" style="15" customWidth="1"/>
    <col min="11011" max="11011" width="9.140625" style="15"/>
    <col min="11012" max="11013" width="11.5703125" style="15" customWidth="1"/>
    <col min="11014" max="11014" width="8.28515625" style="15" customWidth="1"/>
    <col min="11015" max="11015" width="10.28515625" style="15" customWidth="1"/>
    <col min="11016" max="11016" width="3" style="15" customWidth="1"/>
    <col min="11017" max="11017" width="2.7109375" style="15" customWidth="1"/>
    <col min="11018" max="11018" width="3.28515625" style="15" customWidth="1"/>
    <col min="11019" max="11019" width="2.7109375" style="15" customWidth="1"/>
    <col min="11020" max="11020" width="7.28515625" style="15" customWidth="1"/>
    <col min="11021" max="11021" width="5" style="15" customWidth="1"/>
    <col min="11022" max="11022" width="33.7109375" style="15" customWidth="1"/>
    <col min="11023" max="11023" width="7.7109375" style="15" customWidth="1"/>
    <col min="11024" max="11024" width="0" style="15" hidden="1" customWidth="1"/>
    <col min="11025" max="11025" width="8.140625" style="15" customWidth="1"/>
    <col min="11026" max="11026" width="3.7109375" style="15" customWidth="1"/>
    <col min="11027" max="11027" width="7.7109375" style="15" customWidth="1"/>
    <col min="11028" max="11028" width="0" style="15" hidden="1" customWidth="1"/>
    <col min="11029" max="11029" width="7.7109375" style="15" customWidth="1"/>
    <col min="11030" max="11030" width="2.7109375" style="15" customWidth="1"/>
    <col min="11031" max="11031" width="1.28515625" style="15" customWidth="1"/>
    <col min="11032" max="11261" width="9.140625" style="15"/>
    <col min="11262" max="11262" width="1.28515625" style="15" customWidth="1"/>
    <col min="11263" max="11263" width="2.7109375" style="15" customWidth="1"/>
    <col min="11264" max="11264" width="12.28515625" style="15" customWidth="1"/>
    <col min="11265" max="11265" width="8.85546875" style="15" customWidth="1"/>
    <col min="11266" max="11266" width="10.7109375" style="15" customWidth="1"/>
    <col min="11267" max="11267" width="9.140625" style="15"/>
    <col min="11268" max="11269" width="11.5703125" style="15" customWidth="1"/>
    <col min="11270" max="11270" width="8.28515625" style="15" customWidth="1"/>
    <col min="11271" max="11271" width="10.28515625" style="15" customWidth="1"/>
    <col min="11272" max="11272" width="3" style="15" customWidth="1"/>
    <col min="11273" max="11273" width="2.7109375" style="15" customWidth="1"/>
    <col min="11274" max="11274" width="3.28515625" style="15" customWidth="1"/>
    <col min="11275" max="11275" width="2.7109375" style="15" customWidth="1"/>
    <col min="11276" max="11276" width="7.28515625" style="15" customWidth="1"/>
    <col min="11277" max="11277" width="5" style="15" customWidth="1"/>
    <col min="11278" max="11278" width="33.7109375" style="15" customWidth="1"/>
    <col min="11279" max="11279" width="7.7109375" style="15" customWidth="1"/>
    <col min="11280" max="11280" width="0" style="15" hidden="1" customWidth="1"/>
    <col min="11281" max="11281" width="8.140625" style="15" customWidth="1"/>
    <col min="11282" max="11282" width="3.7109375" style="15" customWidth="1"/>
    <col min="11283" max="11283" width="7.7109375" style="15" customWidth="1"/>
    <col min="11284" max="11284" width="0" style="15" hidden="1" customWidth="1"/>
    <col min="11285" max="11285" width="7.7109375" style="15" customWidth="1"/>
    <col min="11286" max="11286" width="2.7109375" style="15" customWidth="1"/>
    <col min="11287" max="11287" width="1.28515625" style="15" customWidth="1"/>
    <col min="11288" max="11517" width="9.140625" style="15"/>
    <col min="11518" max="11518" width="1.28515625" style="15" customWidth="1"/>
    <col min="11519" max="11519" width="2.7109375" style="15" customWidth="1"/>
    <col min="11520" max="11520" width="12.28515625" style="15" customWidth="1"/>
    <col min="11521" max="11521" width="8.85546875" style="15" customWidth="1"/>
    <col min="11522" max="11522" width="10.7109375" style="15" customWidth="1"/>
    <col min="11523" max="11523" width="9.140625" style="15"/>
    <col min="11524" max="11525" width="11.5703125" style="15" customWidth="1"/>
    <col min="11526" max="11526" width="8.28515625" style="15" customWidth="1"/>
    <col min="11527" max="11527" width="10.28515625" style="15" customWidth="1"/>
    <col min="11528" max="11528" width="3" style="15" customWidth="1"/>
    <col min="11529" max="11529" width="2.7109375" style="15" customWidth="1"/>
    <col min="11530" max="11530" width="3.28515625" style="15" customWidth="1"/>
    <col min="11531" max="11531" width="2.7109375" style="15" customWidth="1"/>
    <col min="11532" max="11532" width="7.28515625" style="15" customWidth="1"/>
    <col min="11533" max="11533" width="5" style="15" customWidth="1"/>
    <col min="11534" max="11534" width="33.7109375" style="15" customWidth="1"/>
    <col min="11535" max="11535" width="7.7109375" style="15" customWidth="1"/>
    <col min="11536" max="11536" width="0" style="15" hidden="1" customWidth="1"/>
    <col min="11537" max="11537" width="8.140625" style="15" customWidth="1"/>
    <col min="11538" max="11538" width="3.7109375" style="15" customWidth="1"/>
    <col min="11539" max="11539" width="7.7109375" style="15" customWidth="1"/>
    <col min="11540" max="11540" width="0" style="15" hidden="1" customWidth="1"/>
    <col min="11541" max="11541" width="7.7109375" style="15" customWidth="1"/>
    <col min="11542" max="11542" width="2.7109375" style="15" customWidth="1"/>
    <col min="11543" max="11543" width="1.28515625" style="15" customWidth="1"/>
    <col min="11544" max="11773" width="9.140625" style="15"/>
    <col min="11774" max="11774" width="1.28515625" style="15" customWidth="1"/>
    <col min="11775" max="11775" width="2.7109375" style="15" customWidth="1"/>
    <col min="11776" max="11776" width="12.28515625" style="15" customWidth="1"/>
    <col min="11777" max="11777" width="8.85546875" style="15" customWidth="1"/>
    <col min="11778" max="11778" width="10.7109375" style="15" customWidth="1"/>
    <col min="11779" max="11779" width="9.140625" style="15"/>
    <col min="11780" max="11781" width="11.5703125" style="15" customWidth="1"/>
    <col min="11782" max="11782" width="8.28515625" style="15" customWidth="1"/>
    <col min="11783" max="11783" width="10.28515625" style="15" customWidth="1"/>
    <col min="11784" max="11784" width="3" style="15" customWidth="1"/>
    <col min="11785" max="11785" width="2.7109375" style="15" customWidth="1"/>
    <col min="11786" max="11786" width="3.28515625" style="15" customWidth="1"/>
    <col min="11787" max="11787" width="2.7109375" style="15" customWidth="1"/>
    <col min="11788" max="11788" width="7.28515625" style="15" customWidth="1"/>
    <col min="11789" max="11789" width="5" style="15" customWidth="1"/>
    <col min="11790" max="11790" width="33.7109375" style="15" customWidth="1"/>
    <col min="11791" max="11791" width="7.7109375" style="15" customWidth="1"/>
    <col min="11792" max="11792" width="0" style="15" hidden="1" customWidth="1"/>
    <col min="11793" max="11793" width="8.140625" style="15" customWidth="1"/>
    <col min="11794" max="11794" width="3.7109375" style="15" customWidth="1"/>
    <col min="11795" max="11795" width="7.7109375" style="15" customWidth="1"/>
    <col min="11796" max="11796" width="0" style="15" hidden="1" customWidth="1"/>
    <col min="11797" max="11797" width="7.7109375" style="15" customWidth="1"/>
    <col min="11798" max="11798" width="2.7109375" style="15" customWidth="1"/>
    <col min="11799" max="11799" width="1.28515625" style="15" customWidth="1"/>
    <col min="11800" max="12029" width="9.140625" style="15"/>
    <col min="12030" max="12030" width="1.28515625" style="15" customWidth="1"/>
    <col min="12031" max="12031" width="2.7109375" style="15" customWidth="1"/>
    <col min="12032" max="12032" width="12.28515625" style="15" customWidth="1"/>
    <col min="12033" max="12033" width="8.85546875" style="15" customWidth="1"/>
    <col min="12034" max="12034" width="10.7109375" style="15" customWidth="1"/>
    <col min="12035" max="12035" width="9.140625" style="15"/>
    <col min="12036" max="12037" width="11.5703125" style="15" customWidth="1"/>
    <col min="12038" max="12038" width="8.28515625" style="15" customWidth="1"/>
    <col min="12039" max="12039" width="10.28515625" style="15" customWidth="1"/>
    <col min="12040" max="12040" width="3" style="15" customWidth="1"/>
    <col min="12041" max="12041" width="2.7109375" style="15" customWidth="1"/>
    <col min="12042" max="12042" width="3.28515625" style="15" customWidth="1"/>
    <col min="12043" max="12043" width="2.7109375" style="15" customWidth="1"/>
    <col min="12044" max="12044" width="7.28515625" style="15" customWidth="1"/>
    <col min="12045" max="12045" width="5" style="15" customWidth="1"/>
    <col min="12046" max="12046" width="33.7109375" style="15" customWidth="1"/>
    <col min="12047" max="12047" width="7.7109375" style="15" customWidth="1"/>
    <col min="12048" max="12048" width="0" style="15" hidden="1" customWidth="1"/>
    <col min="12049" max="12049" width="8.140625" style="15" customWidth="1"/>
    <col min="12050" max="12050" width="3.7109375" style="15" customWidth="1"/>
    <col min="12051" max="12051" width="7.7109375" style="15" customWidth="1"/>
    <col min="12052" max="12052" width="0" style="15" hidden="1" customWidth="1"/>
    <col min="12053" max="12053" width="7.7109375" style="15" customWidth="1"/>
    <col min="12054" max="12054" width="2.7109375" style="15" customWidth="1"/>
    <col min="12055" max="12055" width="1.28515625" style="15" customWidth="1"/>
    <col min="12056" max="12285" width="9.140625" style="15"/>
    <col min="12286" max="12286" width="1.28515625" style="15" customWidth="1"/>
    <col min="12287" max="12287" width="2.7109375" style="15" customWidth="1"/>
    <col min="12288" max="12288" width="12.28515625" style="15" customWidth="1"/>
    <col min="12289" max="12289" width="8.85546875" style="15" customWidth="1"/>
    <col min="12290" max="12290" width="10.7109375" style="15" customWidth="1"/>
    <col min="12291" max="12291" width="9.140625" style="15"/>
    <col min="12292" max="12293" width="11.5703125" style="15" customWidth="1"/>
    <col min="12294" max="12294" width="8.28515625" style="15" customWidth="1"/>
    <col min="12295" max="12295" width="10.28515625" style="15" customWidth="1"/>
    <col min="12296" max="12296" width="3" style="15" customWidth="1"/>
    <col min="12297" max="12297" width="2.7109375" style="15" customWidth="1"/>
    <col min="12298" max="12298" width="3.28515625" style="15" customWidth="1"/>
    <col min="12299" max="12299" width="2.7109375" style="15" customWidth="1"/>
    <col min="12300" max="12300" width="7.28515625" style="15" customWidth="1"/>
    <col min="12301" max="12301" width="5" style="15" customWidth="1"/>
    <col min="12302" max="12302" width="33.7109375" style="15" customWidth="1"/>
    <col min="12303" max="12303" width="7.7109375" style="15" customWidth="1"/>
    <col min="12304" max="12304" width="0" style="15" hidden="1" customWidth="1"/>
    <col min="12305" max="12305" width="8.140625" style="15" customWidth="1"/>
    <col min="12306" max="12306" width="3.7109375" style="15" customWidth="1"/>
    <col min="12307" max="12307" width="7.7109375" style="15" customWidth="1"/>
    <col min="12308" max="12308" width="0" style="15" hidden="1" customWidth="1"/>
    <col min="12309" max="12309" width="7.7109375" style="15" customWidth="1"/>
    <col min="12310" max="12310" width="2.7109375" style="15" customWidth="1"/>
    <col min="12311" max="12311" width="1.28515625" style="15" customWidth="1"/>
    <col min="12312" max="12541" width="9.140625" style="15"/>
    <col min="12542" max="12542" width="1.28515625" style="15" customWidth="1"/>
    <col min="12543" max="12543" width="2.7109375" style="15" customWidth="1"/>
    <col min="12544" max="12544" width="12.28515625" style="15" customWidth="1"/>
    <col min="12545" max="12545" width="8.85546875" style="15" customWidth="1"/>
    <col min="12546" max="12546" width="10.7109375" style="15" customWidth="1"/>
    <col min="12547" max="12547" width="9.140625" style="15"/>
    <col min="12548" max="12549" width="11.5703125" style="15" customWidth="1"/>
    <col min="12550" max="12550" width="8.28515625" style="15" customWidth="1"/>
    <col min="12551" max="12551" width="10.28515625" style="15" customWidth="1"/>
    <col min="12552" max="12552" width="3" style="15" customWidth="1"/>
    <col min="12553" max="12553" width="2.7109375" style="15" customWidth="1"/>
    <col min="12554" max="12554" width="3.28515625" style="15" customWidth="1"/>
    <col min="12555" max="12555" width="2.7109375" style="15" customWidth="1"/>
    <col min="12556" max="12556" width="7.28515625" style="15" customWidth="1"/>
    <col min="12557" max="12557" width="5" style="15" customWidth="1"/>
    <col min="12558" max="12558" width="33.7109375" style="15" customWidth="1"/>
    <col min="12559" max="12559" width="7.7109375" style="15" customWidth="1"/>
    <col min="12560" max="12560" width="0" style="15" hidden="1" customWidth="1"/>
    <col min="12561" max="12561" width="8.140625" style="15" customWidth="1"/>
    <col min="12562" max="12562" width="3.7109375" style="15" customWidth="1"/>
    <col min="12563" max="12563" width="7.7109375" style="15" customWidth="1"/>
    <col min="12564" max="12564" width="0" style="15" hidden="1" customWidth="1"/>
    <col min="12565" max="12565" width="7.7109375" style="15" customWidth="1"/>
    <col min="12566" max="12566" width="2.7109375" style="15" customWidth="1"/>
    <col min="12567" max="12567" width="1.28515625" style="15" customWidth="1"/>
    <col min="12568" max="12797" width="9.140625" style="15"/>
    <col min="12798" max="12798" width="1.28515625" style="15" customWidth="1"/>
    <col min="12799" max="12799" width="2.7109375" style="15" customWidth="1"/>
    <col min="12800" max="12800" width="12.28515625" style="15" customWidth="1"/>
    <col min="12801" max="12801" width="8.85546875" style="15" customWidth="1"/>
    <col min="12802" max="12802" width="10.7109375" style="15" customWidth="1"/>
    <col min="12803" max="12803" width="9.140625" style="15"/>
    <col min="12804" max="12805" width="11.5703125" style="15" customWidth="1"/>
    <col min="12806" max="12806" width="8.28515625" style="15" customWidth="1"/>
    <col min="12807" max="12807" width="10.28515625" style="15" customWidth="1"/>
    <col min="12808" max="12808" width="3" style="15" customWidth="1"/>
    <col min="12809" max="12809" width="2.7109375" style="15" customWidth="1"/>
    <col min="12810" max="12810" width="3.28515625" style="15" customWidth="1"/>
    <col min="12811" max="12811" width="2.7109375" style="15" customWidth="1"/>
    <col min="12812" max="12812" width="7.28515625" style="15" customWidth="1"/>
    <col min="12813" max="12813" width="5" style="15" customWidth="1"/>
    <col min="12814" max="12814" width="33.7109375" style="15" customWidth="1"/>
    <col min="12815" max="12815" width="7.7109375" style="15" customWidth="1"/>
    <col min="12816" max="12816" width="0" style="15" hidden="1" customWidth="1"/>
    <col min="12817" max="12817" width="8.140625" style="15" customWidth="1"/>
    <col min="12818" max="12818" width="3.7109375" style="15" customWidth="1"/>
    <col min="12819" max="12819" width="7.7109375" style="15" customWidth="1"/>
    <col min="12820" max="12820" width="0" style="15" hidden="1" customWidth="1"/>
    <col min="12821" max="12821" width="7.7109375" style="15" customWidth="1"/>
    <col min="12822" max="12822" width="2.7109375" style="15" customWidth="1"/>
    <col min="12823" max="12823" width="1.28515625" style="15" customWidth="1"/>
    <col min="12824" max="13053" width="9.140625" style="15"/>
    <col min="13054" max="13054" width="1.28515625" style="15" customWidth="1"/>
    <col min="13055" max="13055" width="2.7109375" style="15" customWidth="1"/>
    <col min="13056" max="13056" width="12.28515625" style="15" customWidth="1"/>
    <col min="13057" max="13057" width="8.85546875" style="15" customWidth="1"/>
    <col min="13058" max="13058" width="10.7109375" style="15" customWidth="1"/>
    <col min="13059" max="13059" width="9.140625" style="15"/>
    <col min="13060" max="13061" width="11.5703125" style="15" customWidth="1"/>
    <col min="13062" max="13062" width="8.28515625" style="15" customWidth="1"/>
    <col min="13063" max="13063" width="10.28515625" style="15" customWidth="1"/>
    <col min="13064" max="13064" width="3" style="15" customWidth="1"/>
    <col min="13065" max="13065" width="2.7109375" style="15" customWidth="1"/>
    <col min="13066" max="13066" width="3.28515625" style="15" customWidth="1"/>
    <col min="13067" max="13067" width="2.7109375" style="15" customWidth="1"/>
    <col min="13068" max="13068" width="7.28515625" style="15" customWidth="1"/>
    <col min="13069" max="13069" width="5" style="15" customWidth="1"/>
    <col min="13070" max="13070" width="33.7109375" style="15" customWidth="1"/>
    <col min="13071" max="13071" width="7.7109375" style="15" customWidth="1"/>
    <col min="13072" max="13072" width="0" style="15" hidden="1" customWidth="1"/>
    <col min="13073" max="13073" width="8.140625" style="15" customWidth="1"/>
    <col min="13074" max="13074" width="3.7109375" style="15" customWidth="1"/>
    <col min="13075" max="13075" width="7.7109375" style="15" customWidth="1"/>
    <col min="13076" max="13076" width="0" style="15" hidden="1" customWidth="1"/>
    <col min="13077" max="13077" width="7.7109375" style="15" customWidth="1"/>
    <col min="13078" max="13078" width="2.7109375" style="15" customWidth="1"/>
    <col min="13079" max="13079" width="1.28515625" style="15" customWidth="1"/>
    <col min="13080" max="13309" width="9.140625" style="15"/>
    <col min="13310" max="13310" width="1.28515625" style="15" customWidth="1"/>
    <col min="13311" max="13311" width="2.7109375" style="15" customWidth="1"/>
    <col min="13312" max="13312" width="12.28515625" style="15" customWidth="1"/>
    <col min="13313" max="13313" width="8.85546875" style="15" customWidth="1"/>
    <col min="13314" max="13314" width="10.7109375" style="15" customWidth="1"/>
    <col min="13315" max="13315" width="9.140625" style="15"/>
    <col min="13316" max="13317" width="11.5703125" style="15" customWidth="1"/>
    <col min="13318" max="13318" width="8.28515625" style="15" customWidth="1"/>
    <col min="13319" max="13319" width="10.28515625" style="15" customWidth="1"/>
    <col min="13320" max="13320" width="3" style="15" customWidth="1"/>
    <col min="13321" max="13321" width="2.7109375" style="15" customWidth="1"/>
    <col min="13322" max="13322" width="3.28515625" style="15" customWidth="1"/>
    <col min="13323" max="13323" width="2.7109375" style="15" customWidth="1"/>
    <col min="13324" max="13324" width="7.28515625" style="15" customWidth="1"/>
    <col min="13325" max="13325" width="5" style="15" customWidth="1"/>
    <col min="13326" max="13326" width="33.7109375" style="15" customWidth="1"/>
    <col min="13327" max="13327" width="7.7109375" style="15" customWidth="1"/>
    <col min="13328" max="13328" width="0" style="15" hidden="1" customWidth="1"/>
    <col min="13329" max="13329" width="8.140625" style="15" customWidth="1"/>
    <col min="13330" max="13330" width="3.7109375" style="15" customWidth="1"/>
    <col min="13331" max="13331" width="7.7109375" style="15" customWidth="1"/>
    <col min="13332" max="13332" width="0" style="15" hidden="1" customWidth="1"/>
    <col min="13333" max="13333" width="7.7109375" style="15" customWidth="1"/>
    <col min="13334" max="13334" width="2.7109375" style="15" customWidth="1"/>
    <col min="13335" max="13335" width="1.28515625" style="15" customWidth="1"/>
    <col min="13336" max="13565" width="9.140625" style="15"/>
    <col min="13566" max="13566" width="1.28515625" style="15" customWidth="1"/>
    <col min="13567" max="13567" width="2.7109375" style="15" customWidth="1"/>
    <col min="13568" max="13568" width="12.28515625" style="15" customWidth="1"/>
    <col min="13569" max="13569" width="8.85546875" style="15" customWidth="1"/>
    <col min="13570" max="13570" width="10.7109375" style="15" customWidth="1"/>
    <col min="13571" max="13571" width="9.140625" style="15"/>
    <col min="13572" max="13573" width="11.5703125" style="15" customWidth="1"/>
    <col min="13574" max="13574" width="8.28515625" style="15" customWidth="1"/>
    <col min="13575" max="13575" width="10.28515625" style="15" customWidth="1"/>
    <col min="13576" max="13576" width="3" style="15" customWidth="1"/>
    <col min="13577" max="13577" width="2.7109375" style="15" customWidth="1"/>
    <col min="13578" max="13578" width="3.28515625" style="15" customWidth="1"/>
    <col min="13579" max="13579" width="2.7109375" style="15" customWidth="1"/>
    <col min="13580" max="13580" width="7.28515625" style="15" customWidth="1"/>
    <col min="13581" max="13581" width="5" style="15" customWidth="1"/>
    <col min="13582" max="13582" width="33.7109375" style="15" customWidth="1"/>
    <col min="13583" max="13583" width="7.7109375" style="15" customWidth="1"/>
    <col min="13584" max="13584" width="0" style="15" hidden="1" customWidth="1"/>
    <col min="13585" max="13585" width="8.140625" style="15" customWidth="1"/>
    <col min="13586" max="13586" width="3.7109375" style="15" customWidth="1"/>
    <col min="13587" max="13587" width="7.7109375" style="15" customWidth="1"/>
    <col min="13588" max="13588" width="0" style="15" hidden="1" customWidth="1"/>
    <col min="13589" max="13589" width="7.7109375" style="15" customWidth="1"/>
    <col min="13590" max="13590" width="2.7109375" style="15" customWidth="1"/>
    <col min="13591" max="13591" width="1.28515625" style="15" customWidth="1"/>
    <col min="13592" max="13821" width="9.140625" style="15"/>
    <col min="13822" max="13822" width="1.28515625" style="15" customWidth="1"/>
    <col min="13823" max="13823" width="2.7109375" style="15" customWidth="1"/>
    <col min="13824" max="13824" width="12.28515625" style="15" customWidth="1"/>
    <col min="13825" max="13825" width="8.85546875" style="15" customWidth="1"/>
    <col min="13826" max="13826" width="10.7109375" style="15" customWidth="1"/>
    <col min="13827" max="13827" width="9.140625" style="15"/>
    <col min="13828" max="13829" width="11.5703125" style="15" customWidth="1"/>
    <col min="13830" max="13830" width="8.28515625" style="15" customWidth="1"/>
    <col min="13831" max="13831" width="10.28515625" style="15" customWidth="1"/>
    <col min="13832" max="13832" width="3" style="15" customWidth="1"/>
    <col min="13833" max="13833" width="2.7109375" style="15" customWidth="1"/>
    <col min="13834" max="13834" width="3.28515625" style="15" customWidth="1"/>
    <col min="13835" max="13835" width="2.7109375" style="15" customWidth="1"/>
    <col min="13836" max="13836" width="7.28515625" style="15" customWidth="1"/>
    <col min="13837" max="13837" width="5" style="15" customWidth="1"/>
    <col min="13838" max="13838" width="33.7109375" style="15" customWidth="1"/>
    <col min="13839" max="13839" width="7.7109375" style="15" customWidth="1"/>
    <col min="13840" max="13840" width="0" style="15" hidden="1" customWidth="1"/>
    <col min="13841" max="13841" width="8.140625" style="15" customWidth="1"/>
    <col min="13842" max="13842" width="3.7109375" style="15" customWidth="1"/>
    <col min="13843" max="13843" width="7.7109375" style="15" customWidth="1"/>
    <col min="13844" max="13844" width="0" style="15" hidden="1" customWidth="1"/>
    <col min="13845" max="13845" width="7.7109375" style="15" customWidth="1"/>
    <col min="13846" max="13846" width="2.7109375" style="15" customWidth="1"/>
    <col min="13847" max="13847" width="1.28515625" style="15" customWidth="1"/>
    <col min="13848" max="14077" width="9.140625" style="15"/>
    <col min="14078" max="14078" width="1.28515625" style="15" customWidth="1"/>
    <col min="14079" max="14079" width="2.7109375" style="15" customWidth="1"/>
    <col min="14080" max="14080" width="12.28515625" style="15" customWidth="1"/>
    <col min="14081" max="14081" width="8.85546875" style="15" customWidth="1"/>
    <col min="14082" max="14082" width="10.7109375" style="15" customWidth="1"/>
    <col min="14083" max="14083" width="9.140625" style="15"/>
    <col min="14084" max="14085" width="11.5703125" style="15" customWidth="1"/>
    <col min="14086" max="14086" width="8.28515625" style="15" customWidth="1"/>
    <col min="14087" max="14087" width="10.28515625" style="15" customWidth="1"/>
    <col min="14088" max="14088" width="3" style="15" customWidth="1"/>
    <col min="14089" max="14089" width="2.7109375" style="15" customWidth="1"/>
    <col min="14090" max="14090" width="3.28515625" style="15" customWidth="1"/>
    <col min="14091" max="14091" width="2.7109375" style="15" customWidth="1"/>
    <col min="14092" max="14092" width="7.28515625" style="15" customWidth="1"/>
    <col min="14093" max="14093" width="5" style="15" customWidth="1"/>
    <col min="14094" max="14094" width="33.7109375" style="15" customWidth="1"/>
    <col min="14095" max="14095" width="7.7109375" style="15" customWidth="1"/>
    <col min="14096" max="14096" width="0" style="15" hidden="1" customWidth="1"/>
    <col min="14097" max="14097" width="8.140625" style="15" customWidth="1"/>
    <col min="14098" max="14098" width="3.7109375" style="15" customWidth="1"/>
    <col min="14099" max="14099" width="7.7109375" style="15" customWidth="1"/>
    <col min="14100" max="14100" width="0" style="15" hidden="1" customWidth="1"/>
    <col min="14101" max="14101" width="7.7109375" style="15" customWidth="1"/>
    <col min="14102" max="14102" width="2.7109375" style="15" customWidth="1"/>
    <col min="14103" max="14103" width="1.28515625" style="15" customWidth="1"/>
    <col min="14104" max="14333" width="9.140625" style="15"/>
    <col min="14334" max="14334" width="1.28515625" style="15" customWidth="1"/>
    <col min="14335" max="14335" width="2.7109375" style="15" customWidth="1"/>
    <col min="14336" max="14336" width="12.28515625" style="15" customWidth="1"/>
    <col min="14337" max="14337" width="8.85546875" style="15" customWidth="1"/>
    <col min="14338" max="14338" width="10.7109375" style="15" customWidth="1"/>
    <col min="14339" max="14339" width="9.140625" style="15"/>
    <col min="14340" max="14341" width="11.5703125" style="15" customWidth="1"/>
    <col min="14342" max="14342" width="8.28515625" style="15" customWidth="1"/>
    <col min="14343" max="14343" width="10.28515625" style="15" customWidth="1"/>
    <col min="14344" max="14344" width="3" style="15" customWidth="1"/>
    <col min="14345" max="14345" width="2.7109375" style="15" customWidth="1"/>
    <col min="14346" max="14346" width="3.28515625" style="15" customWidth="1"/>
    <col min="14347" max="14347" width="2.7109375" style="15" customWidth="1"/>
    <col min="14348" max="14348" width="7.28515625" style="15" customWidth="1"/>
    <col min="14349" max="14349" width="5" style="15" customWidth="1"/>
    <col min="14350" max="14350" width="33.7109375" style="15" customWidth="1"/>
    <col min="14351" max="14351" width="7.7109375" style="15" customWidth="1"/>
    <col min="14352" max="14352" width="0" style="15" hidden="1" customWidth="1"/>
    <col min="14353" max="14353" width="8.140625" style="15" customWidth="1"/>
    <col min="14354" max="14354" width="3.7109375" style="15" customWidth="1"/>
    <col min="14355" max="14355" width="7.7109375" style="15" customWidth="1"/>
    <col min="14356" max="14356" width="0" style="15" hidden="1" customWidth="1"/>
    <col min="14357" max="14357" width="7.7109375" style="15" customWidth="1"/>
    <col min="14358" max="14358" width="2.7109375" style="15" customWidth="1"/>
    <col min="14359" max="14359" width="1.28515625" style="15" customWidth="1"/>
    <col min="14360" max="14589" width="9.140625" style="15"/>
    <col min="14590" max="14590" width="1.28515625" style="15" customWidth="1"/>
    <col min="14591" max="14591" width="2.7109375" style="15" customWidth="1"/>
    <col min="14592" max="14592" width="12.28515625" style="15" customWidth="1"/>
    <col min="14593" max="14593" width="8.85546875" style="15" customWidth="1"/>
    <col min="14594" max="14594" width="10.7109375" style="15" customWidth="1"/>
    <col min="14595" max="14595" width="9.140625" style="15"/>
    <col min="14596" max="14597" width="11.5703125" style="15" customWidth="1"/>
    <col min="14598" max="14598" width="8.28515625" style="15" customWidth="1"/>
    <col min="14599" max="14599" width="10.28515625" style="15" customWidth="1"/>
    <col min="14600" max="14600" width="3" style="15" customWidth="1"/>
    <col min="14601" max="14601" width="2.7109375" style="15" customWidth="1"/>
    <col min="14602" max="14602" width="3.28515625" style="15" customWidth="1"/>
    <col min="14603" max="14603" width="2.7109375" style="15" customWidth="1"/>
    <col min="14604" max="14604" width="7.28515625" style="15" customWidth="1"/>
    <col min="14605" max="14605" width="5" style="15" customWidth="1"/>
    <col min="14606" max="14606" width="33.7109375" style="15" customWidth="1"/>
    <col min="14607" max="14607" width="7.7109375" style="15" customWidth="1"/>
    <col min="14608" max="14608" width="0" style="15" hidden="1" customWidth="1"/>
    <col min="14609" max="14609" width="8.140625" style="15" customWidth="1"/>
    <col min="14610" max="14610" width="3.7109375" style="15" customWidth="1"/>
    <col min="14611" max="14611" width="7.7109375" style="15" customWidth="1"/>
    <col min="14612" max="14612" width="0" style="15" hidden="1" customWidth="1"/>
    <col min="14613" max="14613" width="7.7109375" style="15" customWidth="1"/>
    <col min="14614" max="14614" width="2.7109375" style="15" customWidth="1"/>
    <col min="14615" max="14615" width="1.28515625" style="15" customWidth="1"/>
    <col min="14616" max="14845" width="9.140625" style="15"/>
    <col min="14846" max="14846" width="1.28515625" style="15" customWidth="1"/>
    <col min="14847" max="14847" width="2.7109375" style="15" customWidth="1"/>
    <col min="14848" max="14848" width="12.28515625" style="15" customWidth="1"/>
    <col min="14849" max="14849" width="8.85546875" style="15" customWidth="1"/>
    <col min="14850" max="14850" width="10.7109375" style="15" customWidth="1"/>
    <col min="14851" max="14851" width="9.140625" style="15"/>
    <col min="14852" max="14853" width="11.5703125" style="15" customWidth="1"/>
    <col min="14854" max="14854" width="8.28515625" style="15" customWidth="1"/>
    <col min="14855" max="14855" width="10.28515625" style="15" customWidth="1"/>
    <col min="14856" max="14856" width="3" style="15" customWidth="1"/>
    <col min="14857" max="14857" width="2.7109375" style="15" customWidth="1"/>
    <col min="14858" max="14858" width="3.28515625" style="15" customWidth="1"/>
    <col min="14859" max="14859" width="2.7109375" style="15" customWidth="1"/>
    <col min="14860" max="14860" width="7.28515625" style="15" customWidth="1"/>
    <col min="14861" max="14861" width="5" style="15" customWidth="1"/>
    <col min="14862" max="14862" width="33.7109375" style="15" customWidth="1"/>
    <col min="14863" max="14863" width="7.7109375" style="15" customWidth="1"/>
    <col min="14864" max="14864" width="0" style="15" hidden="1" customWidth="1"/>
    <col min="14865" max="14865" width="8.140625" style="15" customWidth="1"/>
    <col min="14866" max="14866" width="3.7109375" style="15" customWidth="1"/>
    <col min="14867" max="14867" width="7.7109375" style="15" customWidth="1"/>
    <col min="14868" max="14868" width="0" style="15" hidden="1" customWidth="1"/>
    <col min="14869" max="14869" width="7.7109375" style="15" customWidth="1"/>
    <col min="14870" max="14870" width="2.7109375" style="15" customWidth="1"/>
    <col min="14871" max="14871" width="1.28515625" style="15" customWidth="1"/>
    <col min="14872" max="15101" width="9.140625" style="15"/>
    <col min="15102" max="15102" width="1.28515625" style="15" customWidth="1"/>
    <col min="15103" max="15103" width="2.7109375" style="15" customWidth="1"/>
    <col min="15104" max="15104" width="12.28515625" style="15" customWidth="1"/>
    <col min="15105" max="15105" width="8.85546875" style="15" customWidth="1"/>
    <col min="15106" max="15106" width="10.7109375" style="15" customWidth="1"/>
    <col min="15107" max="15107" width="9.140625" style="15"/>
    <col min="15108" max="15109" width="11.5703125" style="15" customWidth="1"/>
    <col min="15110" max="15110" width="8.28515625" style="15" customWidth="1"/>
    <col min="15111" max="15111" width="10.28515625" style="15" customWidth="1"/>
    <col min="15112" max="15112" width="3" style="15" customWidth="1"/>
    <col min="15113" max="15113" width="2.7109375" style="15" customWidth="1"/>
    <col min="15114" max="15114" width="3.28515625" style="15" customWidth="1"/>
    <col min="15115" max="15115" width="2.7109375" style="15" customWidth="1"/>
    <col min="15116" max="15116" width="7.28515625" style="15" customWidth="1"/>
    <col min="15117" max="15117" width="5" style="15" customWidth="1"/>
    <col min="15118" max="15118" width="33.7109375" style="15" customWidth="1"/>
    <col min="15119" max="15119" width="7.7109375" style="15" customWidth="1"/>
    <col min="15120" max="15120" width="0" style="15" hidden="1" customWidth="1"/>
    <col min="15121" max="15121" width="8.140625" style="15" customWidth="1"/>
    <col min="15122" max="15122" width="3.7109375" style="15" customWidth="1"/>
    <col min="15123" max="15123" width="7.7109375" style="15" customWidth="1"/>
    <col min="15124" max="15124" width="0" style="15" hidden="1" customWidth="1"/>
    <col min="15125" max="15125" width="7.7109375" style="15" customWidth="1"/>
    <col min="15126" max="15126" width="2.7109375" style="15" customWidth="1"/>
    <col min="15127" max="15127" width="1.28515625" style="15" customWidth="1"/>
    <col min="15128" max="15357" width="9.140625" style="15"/>
    <col min="15358" max="15358" width="1.28515625" style="15" customWidth="1"/>
    <col min="15359" max="15359" width="2.7109375" style="15" customWidth="1"/>
    <col min="15360" max="15360" width="12.28515625" style="15" customWidth="1"/>
    <col min="15361" max="15361" width="8.85546875" style="15" customWidth="1"/>
    <col min="15362" max="15362" width="10.7109375" style="15" customWidth="1"/>
    <col min="15363" max="15363" width="9.140625" style="15"/>
    <col min="15364" max="15365" width="11.5703125" style="15" customWidth="1"/>
    <col min="15366" max="15366" width="8.28515625" style="15" customWidth="1"/>
    <col min="15367" max="15367" width="10.28515625" style="15" customWidth="1"/>
    <col min="15368" max="15368" width="3" style="15" customWidth="1"/>
    <col min="15369" max="15369" width="2.7109375" style="15" customWidth="1"/>
    <col min="15370" max="15370" width="3.28515625" style="15" customWidth="1"/>
    <col min="15371" max="15371" width="2.7109375" style="15" customWidth="1"/>
    <col min="15372" max="15372" width="7.28515625" style="15" customWidth="1"/>
    <col min="15373" max="15373" width="5" style="15" customWidth="1"/>
    <col min="15374" max="15374" width="33.7109375" style="15" customWidth="1"/>
    <col min="15375" max="15375" width="7.7109375" style="15" customWidth="1"/>
    <col min="15376" max="15376" width="0" style="15" hidden="1" customWidth="1"/>
    <col min="15377" max="15377" width="8.140625" style="15" customWidth="1"/>
    <col min="15378" max="15378" width="3.7109375" style="15" customWidth="1"/>
    <col min="15379" max="15379" width="7.7109375" style="15" customWidth="1"/>
    <col min="15380" max="15380" width="0" style="15" hidden="1" customWidth="1"/>
    <col min="15381" max="15381" width="7.7109375" style="15" customWidth="1"/>
    <col min="15382" max="15382" width="2.7109375" style="15" customWidth="1"/>
    <col min="15383" max="15383" width="1.28515625" style="15" customWidth="1"/>
    <col min="15384" max="15613" width="9.140625" style="15"/>
    <col min="15614" max="15614" width="1.28515625" style="15" customWidth="1"/>
    <col min="15615" max="15615" width="2.7109375" style="15" customWidth="1"/>
    <col min="15616" max="15616" width="12.28515625" style="15" customWidth="1"/>
    <col min="15617" max="15617" width="8.85546875" style="15" customWidth="1"/>
    <col min="15618" max="15618" width="10.7109375" style="15" customWidth="1"/>
    <col min="15619" max="15619" width="9.140625" style="15"/>
    <col min="15620" max="15621" width="11.5703125" style="15" customWidth="1"/>
    <col min="15622" max="15622" width="8.28515625" style="15" customWidth="1"/>
    <col min="15623" max="15623" width="10.28515625" style="15" customWidth="1"/>
    <col min="15624" max="15624" width="3" style="15" customWidth="1"/>
    <col min="15625" max="15625" width="2.7109375" style="15" customWidth="1"/>
    <col min="15626" max="15626" width="3.28515625" style="15" customWidth="1"/>
    <col min="15627" max="15627" width="2.7109375" style="15" customWidth="1"/>
    <col min="15628" max="15628" width="7.28515625" style="15" customWidth="1"/>
    <col min="15629" max="15629" width="5" style="15" customWidth="1"/>
    <col min="15630" max="15630" width="33.7109375" style="15" customWidth="1"/>
    <col min="15631" max="15631" width="7.7109375" style="15" customWidth="1"/>
    <col min="15632" max="15632" width="0" style="15" hidden="1" customWidth="1"/>
    <col min="15633" max="15633" width="8.140625" style="15" customWidth="1"/>
    <col min="15634" max="15634" width="3.7109375" style="15" customWidth="1"/>
    <col min="15635" max="15635" width="7.7109375" style="15" customWidth="1"/>
    <col min="15636" max="15636" width="0" style="15" hidden="1" customWidth="1"/>
    <col min="15637" max="15637" width="7.7109375" style="15" customWidth="1"/>
    <col min="15638" max="15638" width="2.7109375" style="15" customWidth="1"/>
    <col min="15639" max="15639" width="1.28515625" style="15" customWidth="1"/>
    <col min="15640" max="15869" width="9.140625" style="15"/>
    <col min="15870" max="15870" width="1.28515625" style="15" customWidth="1"/>
    <col min="15871" max="15871" width="2.7109375" style="15" customWidth="1"/>
    <col min="15872" max="15872" width="12.28515625" style="15" customWidth="1"/>
    <col min="15873" max="15873" width="8.85546875" style="15" customWidth="1"/>
    <col min="15874" max="15874" width="10.7109375" style="15" customWidth="1"/>
    <col min="15875" max="15875" width="9.140625" style="15"/>
    <col min="15876" max="15877" width="11.5703125" style="15" customWidth="1"/>
    <col min="15878" max="15878" width="8.28515625" style="15" customWidth="1"/>
    <col min="15879" max="15879" width="10.28515625" style="15" customWidth="1"/>
    <col min="15880" max="15880" width="3" style="15" customWidth="1"/>
    <col min="15881" max="15881" width="2.7109375" style="15" customWidth="1"/>
    <col min="15882" max="15882" width="3.28515625" style="15" customWidth="1"/>
    <col min="15883" max="15883" width="2.7109375" style="15" customWidth="1"/>
    <col min="15884" max="15884" width="7.28515625" style="15" customWidth="1"/>
    <col min="15885" max="15885" width="5" style="15" customWidth="1"/>
    <col min="15886" max="15886" width="33.7109375" style="15" customWidth="1"/>
    <col min="15887" max="15887" width="7.7109375" style="15" customWidth="1"/>
    <col min="15888" max="15888" width="0" style="15" hidden="1" customWidth="1"/>
    <col min="15889" max="15889" width="8.140625" style="15" customWidth="1"/>
    <col min="15890" max="15890" width="3.7109375" style="15" customWidth="1"/>
    <col min="15891" max="15891" width="7.7109375" style="15" customWidth="1"/>
    <col min="15892" max="15892" width="0" style="15" hidden="1" customWidth="1"/>
    <col min="15893" max="15893" width="7.7109375" style="15" customWidth="1"/>
    <col min="15894" max="15894" width="2.7109375" style="15" customWidth="1"/>
    <col min="15895" max="15895" width="1.28515625" style="15" customWidth="1"/>
    <col min="15896" max="16125" width="9.140625" style="15"/>
    <col min="16126" max="16126" width="1.28515625" style="15" customWidth="1"/>
    <col min="16127" max="16127" width="2.7109375" style="15" customWidth="1"/>
    <col min="16128" max="16128" width="12.28515625" style="15" customWidth="1"/>
    <col min="16129" max="16129" width="8.85546875" style="15" customWidth="1"/>
    <col min="16130" max="16130" width="10.7109375" style="15" customWidth="1"/>
    <col min="16131" max="16131" width="9.140625" style="15"/>
    <col min="16132" max="16133" width="11.5703125" style="15" customWidth="1"/>
    <col min="16134" max="16134" width="8.28515625" style="15" customWidth="1"/>
    <col min="16135" max="16135" width="10.28515625" style="15" customWidth="1"/>
    <col min="16136" max="16136" width="3" style="15" customWidth="1"/>
    <col min="16137" max="16137" width="2.7109375" style="15" customWidth="1"/>
    <col min="16138" max="16138" width="3.28515625" style="15" customWidth="1"/>
    <col min="16139" max="16139" width="2.7109375" style="15" customWidth="1"/>
    <col min="16140" max="16140" width="7.28515625" style="15" customWidth="1"/>
    <col min="16141" max="16141" width="5" style="15" customWidth="1"/>
    <col min="16142" max="16142" width="33.7109375" style="15" customWidth="1"/>
    <col min="16143" max="16143" width="7.7109375" style="15" customWidth="1"/>
    <col min="16144" max="16144" width="0" style="15" hidden="1" customWidth="1"/>
    <col min="16145" max="16145" width="8.140625" style="15" customWidth="1"/>
    <col min="16146" max="16146" width="3.7109375" style="15" customWidth="1"/>
    <col min="16147" max="16147" width="7.7109375" style="15" customWidth="1"/>
    <col min="16148" max="16148" width="0" style="15" hidden="1" customWidth="1"/>
    <col min="16149" max="16149" width="7.7109375" style="15" customWidth="1"/>
    <col min="16150" max="16150" width="2.7109375" style="15" customWidth="1"/>
    <col min="16151" max="16151" width="1.28515625" style="15" customWidth="1"/>
    <col min="16152" max="16384" width="9.140625" style="15"/>
  </cols>
  <sheetData>
    <row r="1" spans="2:35" s="9" customFormat="1" ht="20.25" x14ac:dyDescent="0.3">
      <c r="C1" s="4" t="s">
        <v>24</v>
      </c>
      <c r="D1" s="5"/>
      <c r="E1" s="5"/>
      <c r="F1" s="5"/>
      <c r="G1" s="5"/>
      <c r="H1" s="5"/>
      <c r="I1" s="5"/>
      <c r="J1" s="5"/>
      <c r="K1" s="5"/>
      <c r="L1" s="6"/>
      <c r="M1" s="6"/>
      <c r="N1" s="6"/>
      <c r="O1" s="6"/>
      <c r="P1" s="6"/>
      <c r="Q1" s="6"/>
      <c r="R1" s="6"/>
      <c r="S1" s="6"/>
      <c r="T1" s="6"/>
      <c r="U1" s="6"/>
      <c r="V1" s="6"/>
      <c r="W1" s="6"/>
      <c r="X1" s="6"/>
      <c r="Y1" s="6"/>
      <c r="Z1" s="6"/>
      <c r="AA1" s="5"/>
      <c r="AB1" s="7"/>
      <c r="AC1" s="5"/>
      <c r="AD1" s="5"/>
      <c r="AE1" s="8" t="s">
        <v>25</v>
      </c>
      <c r="AF1" s="742">
        <v>44943</v>
      </c>
      <c r="AG1" s="742"/>
      <c r="AH1" s="742"/>
    </row>
    <row r="2" spans="2:35" s="9" customFormat="1" ht="12.75" x14ac:dyDescent="0.2">
      <c r="C2" s="10" t="s">
        <v>26</v>
      </c>
      <c r="D2" s="10"/>
      <c r="E2" s="10"/>
      <c r="F2" s="10"/>
      <c r="G2" s="10"/>
      <c r="H2" s="10"/>
      <c r="I2" s="10"/>
      <c r="J2" s="5"/>
      <c r="K2" s="5"/>
      <c r="L2" s="6"/>
      <c r="M2" s="6"/>
      <c r="N2" s="6"/>
      <c r="O2" s="6"/>
      <c r="P2" s="6"/>
      <c r="Q2" s="6"/>
      <c r="R2" s="6"/>
      <c r="S2" s="6"/>
      <c r="T2" s="6"/>
      <c r="U2" s="6"/>
      <c r="V2" s="6"/>
      <c r="W2" s="6"/>
      <c r="X2" s="6"/>
      <c r="Y2" s="6"/>
      <c r="Z2" s="6"/>
      <c r="AB2" s="7"/>
      <c r="AC2" s="5"/>
      <c r="AD2" s="5"/>
      <c r="AE2" s="11" t="s">
        <v>27</v>
      </c>
      <c r="AF2" s="742">
        <v>44927</v>
      </c>
      <c r="AG2" s="742"/>
      <c r="AH2" s="742"/>
    </row>
    <row r="3" spans="2:35" x14ac:dyDescent="0.2">
      <c r="C3" s="12"/>
      <c r="D3" s="12"/>
      <c r="E3" s="12"/>
      <c r="F3" s="12"/>
      <c r="G3" s="12"/>
      <c r="H3" s="12"/>
      <c r="I3" s="12"/>
      <c r="J3" s="12"/>
      <c r="K3" s="12"/>
      <c r="L3" s="12"/>
      <c r="M3" s="12"/>
      <c r="N3" s="12"/>
      <c r="O3" s="12"/>
      <c r="P3" s="12"/>
      <c r="Q3" s="12"/>
      <c r="R3" s="12"/>
      <c r="S3" s="12"/>
      <c r="T3" s="12"/>
      <c r="U3" s="12"/>
      <c r="V3" s="12"/>
      <c r="W3" s="12"/>
      <c r="X3" s="12"/>
      <c r="Y3" s="12"/>
      <c r="Z3" s="12"/>
      <c r="AA3" s="12"/>
      <c r="AB3" s="13"/>
      <c r="AC3" s="12"/>
      <c r="AD3" s="12"/>
      <c r="AE3" s="743"/>
      <c r="AF3" s="743"/>
      <c r="AG3" s="743"/>
      <c r="AH3" s="14"/>
    </row>
    <row r="4" spans="2:35" ht="12.75" x14ac:dyDescent="0.2">
      <c r="B4" s="283"/>
      <c r="C4" s="283"/>
      <c r="D4" s="283"/>
      <c r="E4" s="283"/>
      <c r="F4" s="283"/>
      <c r="G4" s="283"/>
      <c r="H4" s="283"/>
      <c r="I4" s="283"/>
      <c r="J4" s="283"/>
      <c r="K4" s="283"/>
      <c r="L4" s="283"/>
      <c r="M4" s="12"/>
      <c r="N4" s="12"/>
      <c r="O4" s="12"/>
      <c r="P4" s="12"/>
      <c r="Q4" s="12"/>
      <c r="R4" s="12"/>
      <c r="S4" s="12"/>
      <c r="T4" s="12"/>
      <c r="U4" s="12"/>
      <c r="V4" s="12"/>
      <c r="W4" s="12"/>
      <c r="X4" s="12"/>
      <c r="Y4" s="12"/>
      <c r="Z4" s="12"/>
      <c r="AA4" s="41"/>
      <c r="AB4" s="13"/>
      <c r="AC4" s="41"/>
      <c r="AD4" s="41"/>
      <c r="AE4" s="14"/>
      <c r="AF4" s="12"/>
      <c r="AG4" s="12"/>
      <c r="AH4" s="14"/>
      <c r="AI4" s="12"/>
    </row>
    <row r="5" spans="2:35" ht="18.75" thickBot="1" x14ac:dyDescent="0.3">
      <c r="B5" s="283"/>
      <c r="C5" s="284" t="s">
        <v>28</v>
      </c>
      <c r="D5" s="283"/>
      <c r="E5" s="283"/>
      <c r="F5" s="283"/>
      <c r="G5" s="285" t="s">
        <v>547</v>
      </c>
      <c r="H5" s="283"/>
      <c r="I5" s="286"/>
      <c r="J5" s="283"/>
      <c r="K5" s="286" t="s">
        <v>29</v>
      </c>
      <c r="L5" s="283"/>
      <c r="M5" s="12"/>
      <c r="N5" s="12"/>
      <c r="O5" s="12" t="s">
        <v>28</v>
      </c>
      <c r="P5" s="12"/>
      <c r="Q5" s="12"/>
      <c r="R5" s="12"/>
      <c r="S5" s="12"/>
      <c r="T5" s="12"/>
      <c r="U5" s="12"/>
      <c r="V5" s="12"/>
      <c r="W5" s="12"/>
      <c r="X5" s="12"/>
      <c r="Y5" s="12"/>
      <c r="Z5" s="12"/>
      <c r="AA5" s="41"/>
      <c r="AB5" s="13"/>
      <c r="AC5" s="41"/>
      <c r="AD5" s="41"/>
      <c r="AE5" s="14"/>
      <c r="AF5" s="12"/>
      <c r="AG5" s="12"/>
      <c r="AH5" s="14"/>
    </row>
    <row r="6" spans="2:35" ht="18" x14ac:dyDescent="0.25">
      <c r="B6" s="283"/>
      <c r="C6" s="287"/>
      <c r="D6" s="283"/>
      <c r="E6" s="283"/>
      <c r="F6" s="283"/>
      <c r="G6" s="283"/>
      <c r="H6" s="283"/>
      <c r="I6" s="283"/>
      <c r="J6" s="283"/>
      <c r="K6" s="283"/>
      <c r="L6" s="283"/>
      <c r="M6" s="12"/>
      <c r="N6" s="12"/>
      <c r="O6" s="12"/>
      <c r="P6" s="12"/>
      <c r="Q6" s="12"/>
      <c r="R6" s="12"/>
      <c r="S6" s="12"/>
      <c r="T6" s="12"/>
      <c r="U6" s="12"/>
      <c r="V6" s="12"/>
      <c r="W6" s="12"/>
      <c r="X6" s="12"/>
      <c r="Y6" s="12"/>
      <c r="Z6" s="12"/>
      <c r="AA6" s="589" t="s">
        <v>69</v>
      </c>
      <c r="AB6" s="590"/>
      <c r="AC6" s="591"/>
      <c r="AD6" s="591"/>
      <c r="AE6" s="592"/>
      <c r="AF6" s="591"/>
      <c r="AG6" s="591"/>
      <c r="AH6" s="593"/>
    </row>
    <row r="7" spans="2:35" ht="12.75" thickBot="1" x14ac:dyDescent="0.25">
      <c r="B7" s="283"/>
      <c r="C7" s="288" t="s">
        <v>476</v>
      </c>
      <c r="D7" s="289"/>
      <c r="E7" s="289"/>
      <c r="F7" s="289"/>
      <c r="G7" s="289"/>
      <c r="H7" s="290" t="s">
        <v>161</v>
      </c>
      <c r="I7" s="289"/>
      <c r="J7" s="283"/>
      <c r="K7" s="283"/>
      <c r="L7" s="283"/>
      <c r="M7" s="12"/>
      <c r="N7" s="12"/>
      <c r="O7" s="288" t="s">
        <v>479</v>
      </c>
      <c r="P7" s="12"/>
      <c r="Q7" s="12"/>
      <c r="R7" s="12"/>
      <c r="S7" s="12"/>
      <c r="T7" s="290" t="s">
        <v>161</v>
      </c>
      <c r="U7" s="12"/>
      <c r="V7" s="12"/>
      <c r="W7" s="12"/>
      <c r="X7" s="12"/>
      <c r="Y7" s="12"/>
      <c r="Z7" s="12"/>
      <c r="AA7" s="594"/>
      <c r="AB7" s="13"/>
      <c r="AD7" s="737" t="s">
        <v>30</v>
      </c>
      <c r="AE7" s="737"/>
      <c r="AF7" s="12"/>
      <c r="AG7" s="737" t="s">
        <v>31</v>
      </c>
      <c r="AH7" s="741"/>
    </row>
    <row r="8" spans="2:35" ht="13.5" customHeight="1" x14ac:dyDescent="0.2">
      <c r="B8" s="283"/>
      <c r="C8" s="732" t="s">
        <v>34</v>
      </c>
      <c r="D8" s="732"/>
      <c r="E8" s="732"/>
      <c r="F8" s="283"/>
      <c r="G8" s="283"/>
      <c r="H8" s="283"/>
      <c r="I8" s="283"/>
      <c r="J8" s="283"/>
      <c r="K8" s="283"/>
      <c r="L8" s="291"/>
      <c r="O8" s="732" t="s">
        <v>34</v>
      </c>
      <c r="P8" s="732"/>
      <c r="Q8" s="732"/>
      <c r="Z8" s="12"/>
      <c r="AA8" s="595"/>
      <c r="AB8" s="13"/>
      <c r="AC8" s="22" t="s">
        <v>71</v>
      </c>
      <c r="AD8" s="7" t="s">
        <v>33</v>
      </c>
      <c r="AE8" s="7"/>
      <c r="AF8" s="21"/>
      <c r="AG8" s="7" t="s">
        <v>33</v>
      </c>
      <c r="AH8" s="596"/>
    </row>
    <row r="9" spans="2:35" ht="13.5" thickBot="1" x14ac:dyDescent="0.25">
      <c r="B9" s="283"/>
      <c r="C9" s="732"/>
      <c r="D9" s="732"/>
      <c r="E9" s="732"/>
      <c r="F9" s="283"/>
      <c r="G9" s="292" t="s">
        <v>36</v>
      </c>
      <c r="H9" s="292"/>
      <c r="I9" s="283"/>
      <c r="J9" s="283"/>
      <c r="K9" s="283"/>
      <c r="L9" s="291"/>
      <c r="O9" s="732"/>
      <c r="P9" s="732"/>
      <c r="Q9" s="732"/>
      <c r="S9" s="292" t="s">
        <v>36</v>
      </c>
      <c r="Z9" s="12"/>
      <c r="AA9" s="597"/>
      <c r="AB9" s="44"/>
      <c r="AC9" s="38"/>
      <c r="AD9" s="24" t="s">
        <v>32</v>
      </c>
      <c r="AE9" s="24" t="s">
        <v>35</v>
      </c>
      <c r="AF9" s="45"/>
      <c r="AG9" s="24" t="s">
        <v>32</v>
      </c>
      <c r="AH9" s="598" t="s">
        <v>35</v>
      </c>
    </row>
    <row r="10" spans="2:35" ht="12" customHeight="1" x14ac:dyDescent="0.2">
      <c r="B10" s="283"/>
      <c r="C10" s="690">
        <v>0</v>
      </c>
      <c r="D10" s="294" t="s">
        <v>37</v>
      </c>
      <c r="E10" s="69">
        <v>5250</v>
      </c>
      <c r="F10" s="283" t="s">
        <v>38</v>
      </c>
      <c r="G10" s="691">
        <v>0</v>
      </c>
      <c r="H10" s="283"/>
      <c r="I10" s="693">
        <v>0</v>
      </c>
      <c r="J10" s="296">
        <v>0</v>
      </c>
      <c r="K10" s="283"/>
      <c r="L10" s="283"/>
      <c r="M10" s="23"/>
      <c r="N10" s="23"/>
      <c r="O10" s="695">
        <v>0</v>
      </c>
      <c r="P10" s="294" t="s">
        <v>37</v>
      </c>
      <c r="Q10" s="69">
        <v>6925</v>
      </c>
      <c r="R10" s="283" t="s">
        <v>38</v>
      </c>
      <c r="S10" s="691">
        <v>0</v>
      </c>
      <c r="T10" s="283"/>
      <c r="U10" s="693">
        <v>0</v>
      </c>
      <c r="V10" s="295"/>
      <c r="W10" s="296">
        <v>0</v>
      </c>
      <c r="X10" s="23"/>
      <c r="Y10" s="23"/>
      <c r="Z10" s="12"/>
      <c r="AA10" s="599"/>
      <c r="AB10" s="13"/>
      <c r="AC10" s="12" t="s">
        <v>72</v>
      </c>
      <c r="AD10" s="33"/>
      <c r="AE10" s="46"/>
      <c r="AF10" s="14"/>
      <c r="AG10" s="329" t="s">
        <v>73</v>
      </c>
      <c r="AH10" s="600" t="s">
        <v>550</v>
      </c>
    </row>
    <row r="11" spans="2:35" ht="12.75" x14ac:dyDescent="0.2">
      <c r="B11" s="283"/>
      <c r="C11" s="297" t="s">
        <v>39</v>
      </c>
      <c r="D11" s="283"/>
      <c r="E11" s="297" t="s">
        <v>40</v>
      </c>
      <c r="F11" s="283"/>
      <c r="G11" s="283"/>
      <c r="H11" s="283"/>
      <c r="I11" s="283"/>
      <c r="J11" s="298" t="s">
        <v>41</v>
      </c>
      <c r="K11" s="283"/>
      <c r="L11" s="283"/>
      <c r="M11" s="23"/>
      <c r="N11" s="23"/>
      <c r="O11" s="297" t="s">
        <v>39</v>
      </c>
      <c r="P11" s="283"/>
      <c r="Q11" s="297" t="s">
        <v>40</v>
      </c>
      <c r="R11" s="23"/>
      <c r="S11" s="283"/>
      <c r="T11" s="283"/>
      <c r="U11" s="283"/>
      <c r="V11" s="283"/>
      <c r="W11" s="298" t="s">
        <v>41</v>
      </c>
      <c r="X11" s="23"/>
      <c r="Y11" s="23"/>
      <c r="Z11" s="12"/>
      <c r="AA11" s="601"/>
      <c r="AB11" s="31"/>
      <c r="AC11" s="642" t="s">
        <v>74</v>
      </c>
      <c r="AD11" s="34"/>
      <c r="AE11" s="50"/>
      <c r="AF11" s="27"/>
      <c r="AG11" s="27">
        <v>3800</v>
      </c>
      <c r="AH11" s="602">
        <v>6.1000000000000004E-3</v>
      </c>
    </row>
    <row r="12" spans="2:35" ht="12.75" x14ac:dyDescent="0.2">
      <c r="B12" s="283"/>
      <c r="C12" s="293">
        <f>E10</f>
        <v>5250</v>
      </c>
      <c r="D12" s="299" t="s">
        <v>42</v>
      </c>
      <c r="E12" s="68">
        <v>16250</v>
      </c>
      <c r="F12" s="295"/>
      <c r="G12" s="300"/>
      <c r="H12" s="300"/>
      <c r="I12" s="301">
        <v>0.1</v>
      </c>
      <c r="J12" s="296">
        <f t="shared" ref="J12:J18" si="0">C12</f>
        <v>5250</v>
      </c>
      <c r="K12" s="283"/>
      <c r="L12" s="283"/>
      <c r="M12" s="23"/>
      <c r="N12" s="23"/>
      <c r="O12" s="293">
        <f>Q10</f>
        <v>6925</v>
      </c>
      <c r="P12" s="299" t="s">
        <v>42</v>
      </c>
      <c r="Q12" s="68">
        <v>12425</v>
      </c>
      <c r="R12" s="295"/>
      <c r="S12" s="691">
        <v>0</v>
      </c>
      <c r="T12" s="300"/>
      <c r="U12" s="301">
        <v>0.1</v>
      </c>
      <c r="V12" s="296">
        <f t="shared" ref="V12:V18" si="1">O12</f>
        <v>6925</v>
      </c>
      <c r="W12" s="296" t="str">
        <f t="shared" ref="W12" si="2">P12</f>
        <v>-</v>
      </c>
      <c r="X12" s="23"/>
      <c r="Y12" s="23"/>
      <c r="Z12" s="12"/>
      <c r="AA12" s="603"/>
      <c r="AB12" s="13"/>
      <c r="AC12" s="51" t="s">
        <v>76</v>
      </c>
      <c r="AD12" s="33"/>
      <c r="AE12" s="46"/>
      <c r="AF12" s="329"/>
      <c r="AG12" s="329">
        <v>3802</v>
      </c>
      <c r="AH12" s="600">
        <v>8.3000000000000001E-3</v>
      </c>
    </row>
    <row r="13" spans="2:35" x14ac:dyDescent="0.2">
      <c r="B13" s="283"/>
      <c r="C13" s="293">
        <f>E12</f>
        <v>16250</v>
      </c>
      <c r="D13" s="299" t="s">
        <v>42</v>
      </c>
      <c r="E13" s="68">
        <v>49975</v>
      </c>
      <c r="F13" s="295"/>
      <c r="G13" s="302">
        <f>(E12-C12)*I12</f>
        <v>1100</v>
      </c>
      <c r="H13" s="299" t="s">
        <v>43</v>
      </c>
      <c r="I13" s="301">
        <v>0.12</v>
      </c>
      <c r="J13" s="296">
        <f t="shared" si="0"/>
        <v>16250</v>
      </c>
      <c r="K13" s="303"/>
      <c r="L13" s="283"/>
      <c r="O13" s="293">
        <f>Q12</f>
        <v>12425</v>
      </c>
      <c r="P13" s="299" t="s">
        <v>42</v>
      </c>
      <c r="Q13" s="68">
        <v>29288</v>
      </c>
      <c r="R13" s="295"/>
      <c r="S13" s="644">
        <v>550</v>
      </c>
      <c r="T13" s="299" t="s">
        <v>43</v>
      </c>
      <c r="U13" s="301">
        <v>0.12</v>
      </c>
      <c r="V13" s="296">
        <f t="shared" si="1"/>
        <v>12425</v>
      </c>
      <c r="W13" s="296"/>
      <c r="Z13" s="12"/>
      <c r="AA13" s="604"/>
      <c r="AB13" s="31"/>
      <c r="AC13" s="49" t="s">
        <v>78</v>
      </c>
      <c r="AD13" s="34"/>
      <c r="AE13" s="50"/>
      <c r="AF13" s="27"/>
      <c r="AG13" s="27">
        <v>3804</v>
      </c>
      <c r="AH13" s="600">
        <v>4.0000000000000001E-3</v>
      </c>
    </row>
    <row r="14" spans="2:35" ht="16.5" x14ac:dyDescent="0.2">
      <c r="B14" s="283"/>
      <c r="C14" s="293">
        <f t="shared" ref="C14:C18" si="3">E13</f>
        <v>49975</v>
      </c>
      <c r="D14" s="299" t="s">
        <v>42</v>
      </c>
      <c r="E14" s="68">
        <v>100625</v>
      </c>
      <c r="F14" s="295"/>
      <c r="G14" s="302">
        <f>G13+(E13-C13)*I13</f>
        <v>5147</v>
      </c>
      <c r="H14" s="299" t="s">
        <v>43</v>
      </c>
      <c r="I14" s="301">
        <v>0.22</v>
      </c>
      <c r="J14" s="296">
        <f t="shared" si="0"/>
        <v>49975</v>
      </c>
      <c r="K14" s="303"/>
      <c r="L14" s="283"/>
      <c r="O14" s="293">
        <f t="shared" ref="O14:O18" si="4">Q13</f>
        <v>29288</v>
      </c>
      <c r="P14" s="299" t="s">
        <v>42</v>
      </c>
      <c r="Q14" s="68">
        <v>54613</v>
      </c>
      <c r="R14" s="295"/>
      <c r="S14" s="699">
        <f>S13+(Q13-O13)*U13-0.06</f>
        <v>2573.5</v>
      </c>
      <c r="T14" s="299" t="s">
        <v>43</v>
      </c>
      <c r="U14" s="301">
        <v>0.22</v>
      </c>
      <c r="V14" s="296">
        <f t="shared" si="1"/>
        <v>29288</v>
      </c>
      <c r="W14" s="296"/>
      <c r="Z14" s="12"/>
      <c r="AA14" s="594"/>
      <c r="AC14" s="12" t="s">
        <v>81</v>
      </c>
      <c r="AD14" s="329"/>
      <c r="AE14" s="14"/>
      <c r="AF14" s="329"/>
      <c r="AG14" s="329">
        <v>3806</v>
      </c>
      <c r="AH14" s="605" t="s">
        <v>82</v>
      </c>
      <c r="AI14" s="36"/>
    </row>
    <row r="15" spans="2:35" x14ac:dyDescent="0.2">
      <c r="B15" s="283"/>
      <c r="C15" s="293">
        <f t="shared" si="3"/>
        <v>100625</v>
      </c>
      <c r="D15" s="299" t="s">
        <v>42</v>
      </c>
      <c r="E15" s="68">
        <v>187350</v>
      </c>
      <c r="F15" s="295"/>
      <c r="G15" s="302">
        <f>G14+(E14-C14)*I14</f>
        <v>16290</v>
      </c>
      <c r="H15" s="299" t="s">
        <v>43</v>
      </c>
      <c r="I15" s="301">
        <v>0.24</v>
      </c>
      <c r="J15" s="296">
        <f t="shared" si="0"/>
        <v>100625</v>
      </c>
      <c r="K15" s="295"/>
      <c r="L15" s="283"/>
      <c r="O15" s="293">
        <f t="shared" si="4"/>
        <v>54613</v>
      </c>
      <c r="P15" s="299" t="s">
        <v>42</v>
      </c>
      <c r="Q15" s="68">
        <v>97975</v>
      </c>
      <c r="R15" s="295"/>
      <c r="S15" s="303">
        <f>S14+(Q14-O14)*U14</f>
        <v>8145</v>
      </c>
      <c r="T15" s="299" t="s">
        <v>43</v>
      </c>
      <c r="U15" s="301">
        <v>0.24</v>
      </c>
      <c r="V15" s="296">
        <f t="shared" si="1"/>
        <v>54613</v>
      </c>
      <c r="W15" s="296"/>
      <c r="Z15" s="12"/>
      <c r="AA15" s="604"/>
      <c r="AB15" s="31"/>
      <c r="AC15" s="28" t="s">
        <v>83</v>
      </c>
      <c r="AD15" s="34"/>
      <c r="AE15" s="50"/>
      <c r="AF15" s="27"/>
      <c r="AG15" s="27">
        <v>3808</v>
      </c>
      <c r="AH15" s="606"/>
      <c r="AI15" s="36"/>
    </row>
    <row r="16" spans="2:35" x14ac:dyDescent="0.2">
      <c r="B16" s="283"/>
      <c r="C16" s="293">
        <f t="shared" si="3"/>
        <v>187350</v>
      </c>
      <c r="D16" s="299" t="s">
        <v>42</v>
      </c>
      <c r="E16" s="68">
        <v>236500</v>
      </c>
      <c r="F16" s="295"/>
      <c r="G16" s="302">
        <f>G15+(E15-C15)*I15</f>
        <v>37104</v>
      </c>
      <c r="H16" s="299" t="s">
        <v>43</v>
      </c>
      <c r="I16" s="301">
        <v>0.32</v>
      </c>
      <c r="J16" s="296">
        <f t="shared" si="0"/>
        <v>187350</v>
      </c>
      <c r="K16" s="295"/>
      <c r="L16" s="283"/>
      <c r="O16" s="293">
        <f t="shared" si="4"/>
        <v>97975</v>
      </c>
      <c r="P16" s="299" t="s">
        <v>42</v>
      </c>
      <c r="Q16" s="68">
        <v>122550</v>
      </c>
      <c r="R16" s="295"/>
      <c r="S16" s="644">
        <v>18552</v>
      </c>
      <c r="T16" s="299" t="s">
        <v>43</v>
      </c>
      <c r="U16" s="301">
        <v>0.32</v>
      </c>
      <c r="V16" s="296">
        <f t="shared" si="1"/>
        <v>97975</v>
      </c>
      <c r="W16" s="296"/>
      <c r="AA16" s="603"/>
      <c r="AB16" s="13"/>
      <c r="AC16" s="51" t="s">
        <v>85</v>
      </c>
      <c r="AD16" s="33"/>
      <c r="AE16" s="46"/>
      <c r="AF16" s="329"/>
      <c r="AG16" s="329">
        <v>3810</v>
      </c>
      <c r="AH16" s="600">
        <v>2.9999999999999997E-4</v>
      </c>
    </row>
    <row r="17" spans="2:35" x14ac:dyDescent="0.2">
      <c r="B17" s="283"/>
      <c r="C17" s="293">
        <f t="shared" si="3"/>
        <v>236500</v>
      </c>
      <c r="D17" s="299" t="s">
        <v>42</v>
      </c>
      <c r="E17" s="68">
        <v>583375</v>
      </c>
      <c r="F17" s="295"/>
      <c r="G17" s="302">
        <f>G16+(E16-C16)*I16</f>
        <v>52832</v>
      </c>
      <c r="H17" s="299" t="s">
        <v>43</v>
      </c>
      <c r="I17" s="301">
        <v>0.35</v>
      </c>
      <c r="J17" s="296">
        <f t="shared" si="0"/>
        <v>236500</v>
      </c>
      <c r="K17" s="295"/>
      <c r="L17" s="283"/>
      <c r="O17" s="293">
        <f t="shared" si="4"/>
        <v>122550</v>
      </c>
      <c r="P17" s="299" t="s">
        <v>42</v>
      </c>
      <c r="Q17" s="68">
        <v>295988</v>
      </c>
      <c r="R17" s="295"/>
      <c r="S17" s="303">
        <f>S16+(Q16-O16)*U16</f>
        <v>26416</v>
      </c>
      <c r="T17" s="299" t="s">
        <v>43</v>
      </c>
      <c r="U17" s="301">
        <v>0.35</v>
      </c>
      <c r="V17" s="296">
        <f t="shared" si="1"/>
        <v>122550</v>
      </c>
      <c r="W17" s="296"/>
      <c r="AA17" s="604"/>
      <c r="AB17" s="31" t="s">
        <v>16</v>
      </c>
      <c r="AC17" s="28" t="s">
        <v>87</v>
      </c>
      <c r="AD17" s="34"/>
      <c r="AE17" s="50"/>
      <c r="AF17" s="27"/>
      <c r="AG17" s="27">
        <v>7936</v>
      </c>
      <c r="AH17" s="602">
        <v>0.82579999999999998</v>
      </c>
    </row>
    <row r="18" spans="2:35" x14ac:dyDescent="0.2">
      <c r="B18" s="283"/>
      <c r="C18" s="293">
        <f t="shared" si="3"/>
        <v>583375</v>
      </c>
      <c r="D18" s="304" t="s">
        <v>44</v>
      </c>
      <c r="E18" s="304"/>
      <c r="F18" s="295"/>
      <c r="G18" s="302">
        <f>G17+(E17-C17)*I17</f>
        <v>174238.25</v>
      </c>
      <c r="H18" s="299" t="s">
        <v>43</v>
      </c>
      <c r="I18" s="301">
        <v>0.37</v>
      </c>
      <c r="J18" s="296">
        <f t="shared" si="0"/>
        <v>583375</v>
      </c>
      <c r="K18" s="295"/>
      <c r="L18" s="283"/>
      <c r="O18" s="293">
        <f t="shared" si="4"/>
        <v>295988</v>
      </c>
      <c r="P18" s="304" t="s">
        <v>44</v>
      </c>
      <c r="Q18" s="304"/>
      <c r="R18" s="295"/>
      <c r="S18" s="699">
        <f>S17+(Q17-O17)*U17-0.17</f>
        <v>87119.12999999999</v>
      </c>
      <c r="T18" s="299" t="s">
        <v>43</v>
      </c>
      <c r="U18" s="301">
        <v>0.37</v>
      </c>
      <c r="V18" s="296">
        <f t="shared" si="1"/>
        <v>295988</v>
      </c>
      <c r="Z18" s="12"/>
      <c r="AA18" s="603"/>
      <c r="AB18" s="13" t="s">
        <v>14</v>
      </c>
      <c r="AC18" s="51" t="s">
        <v>89</v>
      </c>
      <c r="AD18" s="33"/>
      <c r="AE18" s="46"/>
      <c r="AF18" s="329"/>
      <c r="AG18" s="329">
        <v>7938</v>
      </c>
      <c r="AH18" s="600">
        <v>0.1983</v>
      </c>
      <c r="AI18" s="62"/>
    </row>
    <row r="19" spans="2:35" x14ac:dyDescent="0.2">
      <c r="B19" s="283"/>
      <c r="C19" s="295"/>
      <c r="D19" s="295"/>
      <c r="E19" s="303"/>
      <c r="F19" s="295"/>
      <c r="G19" s="303"/>
      <c r="H19" s="295"/>
      <c r="I19" s="299"/>
      <c r="J19" s="295"/>
      <c r="K19" s="295"/>
      <c r="L19" s="283"/>
      <c r="Z19" s="12"/>
      <c r="AA19" s="604"/>
      <c r="AB19" s="31" t="s">
        <v>15</v>
      </c>
      <c r="AC19" s="28" t="s">
        <v>91</v>
      </c>
      <c r="AD19" s="34"/>
      <c r="AE19" s="50"/>
      <c r="AF19" s="27"/>
      <c r="AG19" s="27">
        <v>7940</v>
      </c>
      <c r="AH19" s="607">
        <v>0.41120000000000001</v>
      </c>
    </row>
    <row r="20" spans="2:35" x14ac:dyDescent="0.2">
      <c r="B20" s="283"/>
      <c r="C20" s="290" t="s">
        <v>477</v>
      </c>
      <c r="D20" s="305"/>
      <c r="E20" s="305"/>
      <c r="F20" s="283"/>
      <c r="G20" s="283"/>
      <c r="H20" s="290" t="s">
        <v>161</v>
      </c>
      <c r="I20" s="306"/>
      <c r="J20" s="283"/>
      <c r="K20" s="283"/>
      <c r="L20" s="283"/>
      <c r="O20" s="288" t="s">
        <v>480</v>
      </c>
      <c r="P20" s="12"/>
      <c r="Q20" s="12"/>
      <c r="R20" s="12"/>
      <c r="S20" s="12"/>
      <c r="T20" s="290" t="s">
        <v>161</v>
      </c>
      <c r="U20" s="12"/>
      <c r="V20" s="12"/>
      <c r="W20" s="12"/>
      <c r="Z20" s="53"/>
      <c r="AA20" s="603"/>
      <c r="AB20" s="13" t="s">
        <v>14</v>
      </c>
      <c r="AC20" s="51" t="s">
        <v>92</v>
      </c>
      <c r="AD20" s="33"/>
      <c r="AE20" s="46"/>
      <c r="AF20" s="329"/>
      <c r="AG20" s="329">
        <v>7942</v>
      </c>
      <c r="AH20" s="600">
        <v>0.36909999999999998</v>
      </c>
      <c r="AI20" s="36"/>
    </row>
    <row r="21" spans="2:35" ht="12.75" customHeight="1" x14ac:dyDescent="0.2">
      <c r="B21" s="283"/>
      <c r="C21" s="732" t="s">
        <v>34</v>
      </c>
      <c r="D21" s="732"/>
      <c r="E21" s="732"/>
      <c r="F21" s="283"/>
      <c r="G21" s="283"/>
      <c r="H21" s="283"/>
      <c r="I21" s="306"/>
      <c r="J21" s="283"/>
      <c r="K21" s="283"/>
      <c r="L21" s="283"/>
      <c r="O21" s="732" t="s">
        <v>34</v>
      </c>
      <c r="P21" s="732"/>
      <c r="Q21" s="732"/>
      <c r="Z21" s="57"/>
      <c r="AA21" s="604"/>
      <c r="AB21" s="31" t="s">
        <v>14</v>
      </c>
      <c r="AC21" s="28" t="s">
        <v>93</v>
      </c>
      <c r="AD21" s="34"/>
      <c r="AE21" s="50"/>
      <c r="AF21" s="27"/>
      <c r="AG21" s="27">
        <v>7944</v>
      </c>
      <c r="AH21" s="602">
        <v>0.35120000000000001</v>
      </c>
      <c r="AI21" s="36"/>
    </row>
    <row r="22" spans="2:35" x14ac:dyDescent="0.2">
      <c r="B22" s="283"/>
      <c r="C22" s="732"/>
      <c r="D22" s="732"/>
      <c r="E22" s="732"/>
      <c r="F22" s="283"/>
      <c r="G22" s="292" t="s">
        <v>36</v>
      </c>
      <c r="H22" s="292"/>
      <c r="I22" s="306"/>
      <c r="J22" s="283"/>
      <c r="K22" s="283"/>
      <c r="L22" s="283"/>
      <c r="O22" s="732"/>
      <c r="P22" s="732"/>
      <c r="Q22" s="732"/>
      <c r="S22" s="292" t="s">
        <v>36</v>
      </c>
      <c r="Z22" s="26"/>
      <c r="AA22" s="603"/>
      <c r="AB22" s="13" t="s">
        <v>16</v>
      </c>
      <c r="AC22" s="51" t="s">
        <v>94</v>
      </c>
      <c r="AD22" s="33"/>
      <c r="AE22" s="46"/>
      <c r="AF22" s="329"/>
      <c r="AG22" s="329">
        <v>7946</v>
      </c>
      <c r="AH22" s="600">
        <v>1.0446</v>
      </c>
    </row>
    <row r="23" spans="2:35" ht="12.75" x14ac:dyDescent="0.2">
      <c r="B23" s="283"/>
      <c r="C23" s="692">
        <v>0</v>
      </c>
      <c r="D23" s="294" t="s">
        <v>37</v>
      </c>
      <c r="E23" s="69">
        <v>14800</v>
      </c>
      <c r="F23" s="283" t="s">
        <v>38</v>
      </c>
      <c r="G23" s="691">
        <v>0</v>
      </c>
      <c r="H23" s="283"/>
      <c r="I23" s="694">
        <v>0</v>
      </c>
      <c r="J23" s="293">
        <v>0</v>
      </c>
      <c r="K23" s="283"/>
      <c r="L23" s="283"/>
      <c r="O23" s="695">
        <v>0</v>
      </c>
      <c r="P23" s="294" t="s">
        <v>37</v>
      </c>
      <c r="Q23" s="69">
        <v>13850</v>
      </c>
      <c r="R23" s="283" t="s">
        <v>38</v>
      </c>
      <c r="S23" s="691">
        <v>0</v>
      </c>
      <c r="T23" s="283"/>
      <c r="U23" s="693">
        <v>0</v>
      </c>
      <c r="V23" s="295"/>
      <c r="W23" s="296">
        <v>0</v>
      </c>
      <c r="Z23" s="12"/>
      <c r="AA23" s="604"/>
      <c r="AB23" s="31" t="s">
        <v>16</v>
      </c>
      <c r="AC23" s="28" t="s">
        <v>96</v>
      </c>
      <c r="AD23" s="34"/>
      <c r="AE23" s="50"/>
      <c r="AF23" s="27"/>
      <c r="AG23" s="27">
        <v>7948</v>
      </c>
      <c r="AH23" s="608">
        <v>0.50370000000000004</v>
      </c>
      <c r="AI23" s="12"/>
    </row>
    <row r="24" spans="2:35" ht="12.75" x14ac:dyDescent="0.2">
      <c r="B24" s="283"/>
      <c r="C24" s="297" t="s">
        <v>39</v>
      </c>
      <c r="D24" s="283"/>
      <c r="E24" s="307" t="s">
        <v>40</v>
      </c>
      <c r="F24" s="283"/>
      <c r="G24" s="283"/>
      <c r="H24" s="283"/>
      <c r="I24" s="306"/>
      <c r="J24" s="298" t="s">
        <v>45</v>
      </c>
      <c r="K24" s="283"/>
      <c r="L24" s="283"/>
      <c r="O24" s="297" t="s">
        <v>39</v>
      </c>
      <c r="P24" s="283"/>
      <c r="Q24" s="297" t="s">
        <v>40</v>
      </c>
      <c r="R24" s="23"/>
      <c r="S24" s="283"/>
      <c r="T24" s="283"/>
      <c r="U24" s="283"/>
      <c r="V24" s="283"/>
      <c r="W24" s="298" t="s">
        <v>41</v>
      </c>
      <c r="Z24" s="26"/>
      <c r="AA24" s="603"/>
      <c r="AB24" s="13" t="s">
        <v>16</v>
      </c>
      <c r="AC24" s="51" t="s">
        <v>98</v>
      </c>
      <c r="AD24" s="33"/>
      <c r="AE24" s="46"/>
      <c r="AF24" s="329"/>
      <c r="AG24" s="329">
        <v>7950</v>
      </c>
      <c r="AH24" s="600">
        <v>0.23730000000000001</v>
      </c>
    </row>
    <row r="25" spans="2:35" x14ac:dyDescent="0.2">
      <c r="B25" s="283"/>
      <c r="C25" s="293">
        <f>E23</f>
        <v>14800</v>
      </c>
      <c r="D25" s="299" t="s">
        <v>42</v>
      </c>
      <c r="E25" s="68">
        <v>36800</v>
      </c>
      <c r="F25" s="295"/>
      <c r="G25" s="300"/>
      <c r="H25" s="304"/>
      <c r="I25" s="301">
        <v>0.1</v>
      </c>
      <c r="J25" s="296">
        <f t="shared" ref="J25:J31" si="5">C25</f>
        <v>14800</v>
      </c>
      <c r="K25" s="283"/>
      <c r="L25" s="283"/>
      <c r="O25" s="293">
        <f>Q23</f>
        <v>13850</v>
      </c>
      <c r="P25" s="299" t="s">
        <v>42</v>
      </c>
      <c r="Q25" s="68">
        <v>24850</v>
      </c>
      <c r="R25" s="295"/>
      <c r="S25" s="691">
        <v>0</v>
      </c>
      <c r="T25" s="300"/>
      <c r="U25" s="301">
        <v>0.1</v>
      </c>
      <c r="V25" s="296">
        <f t="shared" ref="V25:V31" si="6">O25</f>
        <v>13850</v>
      </c>
      <c r="W25" s="296" t="str">
        <f t="shared" ref="W25" si="7">P25</f>
        <v>-</v>
      </c>
      <c r="AA25" s="604"/>
      <c r="AB25" s="31" t="s">
        <v>16</v>
      </c>
      <c r="AC25" s="28" t="s">
        <v>100</v>
      </c>
      <c r="AD25" s="34"/>
      <c r="AE25" s="50"/>
      <c r="AF25" s="27"/>
      <c r="AG25" s="27">
        <v>7952</v>
      </c>
      <c r="AH25" s="608">
        <v>0.84319999999999995</v>
      </c>
    </row>
    <row r="26" spans="2:35" x14ac:dyDescent="0.2">
      <c r="B26" s="283"/>
      <c r="C26" s="293">
        <f>E25</f>
        <v>36800</v>
      </c>
      <c r="D26" s="299" t="s">
        <v>42</v>
      </c>
      <c r="E26" s="68">
        <v>104250</v>
      </c>
      <c r="F26" s="295"/>
      <c r="G26" s="302">
        <f>(E25-C25)*I25</f>
        <v>2200</v>
      </c>
      <c r="H26" s="299" t="s">
        <v>43</v>
      </c>
      <c r="I26" s="301">
        <v>0.12</v>
      </c>
      <c r="J26" s="296">
        <f t="shared" si="5"/>
        <v>36800</v>
      </c>
      <c r="K26" s="283"/>
      <c r="L26" s="283"/>
      <c r="M26" s="12"/>
      <c r="N26" s="12"/>
      <c r="O26" s="293">
        <f>Q25</f>
        <v>24850</v>
      </c>
      <c r="P26" s="299" t="s">
        <v>42</v>
      </c>
      <c r="Q26" s="68">
        <v>58575</v>
      </c>
      <c r="R26" s="295"/>
      <c r="S26" s="303">
        <f>(Q25-O25)*U25</f>
        <v>1100</v>
      </c>
      <c r="T26" s="299" t="s">
        <v>43</v>
      </c>
      <c r="U26" s="301">
        <v>0.12</v>
      </c>
      <c r="V26" s="296">
        <f t="shared" si="6"/>
        <v>24850</v>
      </c>
      <c r="W26" s="296"/>
      <c r="X26" s="12"/>
      <c r="Y26" s="12"/>
      <c r="AA26" s="609"/>
      <c r="AB26" s="64" t="s">
        <v>16</v>
      </c>
      <c r="AC26" s="30" t="s">
        <v>102</v>
      </c>
      <c r="AD26" s="65"/>
      <c r="AE26" s="66"/>
      <c r="AF26" s="29"/>
      <c r="AG26" s="29">
        <v>7954</v>
      </c>
      <c r="AH26" s="600">
        <v>0.74909999999999999</v>
      </c>
    </row>
    <row r="27" spans="2:35" x14ac:dyDescent="0.2">
      <c r="B27" s="283"/>
      <c r="C27" s="293">
        <f t="shared" ref="C27:C31" si="8">E26</f>
        <v>104250</v>
      </c>
      <c r="D27" s="299" t="s">
        <v>42</v>
      </c>
      <c r="E27" s="68">
        <v>205550</v>
      </c>
      <c r="F27" s="295"/>
      <c r="G27" s="302">
        <f>G26+(E26-C26)*I26</f>
        <v>10294</v>
      </c>
      <c r="H27" s="299" t="s">
        <v>43</v>
      </c>
      <c r="I27" s="301">
        <v>0.22</v>
      </c>
      <c r="J27" s="296">
        <f t="shared" si="5"/>
        <v>104250</v>
      </c>
      <c r="K27" s="283"/>
      <c r="L27" s="283"/>
      <c r="M27" s="12"/>
      <c r="N27" s="12"/>
      <c r="O27" s="293">
        <f t="shared" ref="O27:O31" si="9">Q26</f>
        <v>58575</v>
      </c>
      <c r="P27" s="299" t="s">
        <v>42</v>
      </c>
      <c r="Q27" s="68">
        <v>109225</v>
      </c>
      <c r="R27" s="295"/>
      <c r="S27" s="303">
        <f>S26+(Q26-O26)*U26</f>
        <v>5147</v>
      </c>
      <c r="T27" s="299" t="s">
        <v>43</v>
      </c>
      <c r="U27" s="301">
        <v>0.22</v>
      </c>
      <c r="V27" s="296">
        <f t="shared" si="6"/>
        <v>58575</v>
      </c>
      <c r="W27" s="296"/>
      <c r="X27" s="12"/>
      <c r="Y27" s="12"/>
      <c r="Z27" s="12"/>
      <c r="AA27" s="610"/>
      <c r="AB27" s="13" t="s">
        <v>12</v>
      </c>
      <c r="AC27" s="51" t="s">
        <v>104</v>
      </c>
      <c r="AD27" s="33"/>
      <c r="AE27" s="46"/>
      <c r="AF27" s="329"/>
      <c r="AG27" s="329">
        <v>7956</v>
      </c>
      <c r="AH27" s="611">
        <v>0.1041</v>
      </c>
      <c r="AI27" s="12"/>
    </row>
    <row r="28" spans="2:35" ht="14.25" customHeight="1" x14ac:dyDescent="0.2">
      <c r="B28" s="283"/>
      <c r="C28" s="293">
        <f t="shared" si="8"/>
        <v>205550</v>
      </c>
      <c r="D28" s="299" t="s">
        <v>42</v>
      </c>
      <c r="E28" s="68">
        <v>379000</v>
      </c>
      <c r="F28" s="295"/>
      <c r="G28" s="302">
        <f>G27+(E27-C27)*I27</f>
        <v>32580</v>
      </c>
      <c r="H28" s="299" t="s">
        <v>43</v>
      </c>
      <c r="I28" s="301">
        <v>0.24</v>
      </c>
      <c r="J28" s="296">
        <f t="shared" si="5"/>
        <v>205550</v>
      </c>
      <c r="K28" s="283"/>
      <c r="L28" s="283"/>
      <c r="M28" s="12"/>
      <c r="N28" s="12"/>
      <c r="O28" s="293">
        <f t="shared" si="9"/>
        <v>109225</v>
      </c>
      <c r="P28" s="299" t="s">
        <v>42</v>
      </c>
      <c r="Q28" s="68">
        <v>195950</v>
      </c>
      <c r="R28" s="295"/>
      <c r="S28" s="303">
        <f>S27+(Q27-O27)*U27</f>
        <v>16290</v>
      </c>
      <c r="T28" s="299" t="s">
        <v>43</v>
      </c>
      <c r="U28" s="301">
        <v>0.24</v>
      </c>
      <c r="V28" s="296">
        <f t="shared" si="6"/>
        <v>109225</v>
      </c>
      <c r="W28" s="296"/>
      <c r="X28" s="12"/>
      <c r="Y28" s="12"/>
      <c r="Z28" s="12"/>
      <c r="AA28" s="610"/>
      <c r="AB28" s="319" t="s">
        <v>298</v>
      </c>
      <c r="AC28" s="320" t="s">
        <v>299</v>
      </c>
      <c r="AD28" s="321"/>
      <c r="AE28" s="322"/>
      <c r="AF28" s="321"/>
      <c r="AG28" s="321">
        <v>7984</v>
      </c>
      <c r="AH28" s="600">
        <v>0.49490000000000001</v>
      </c>
      <c r="AI28" s="12"/>
    </row>
    <row r="29" spans="2:35" ht="12" customHeight="1" thickBot="1" x14ac:dyDescent="0.25">
      <c r="B29" s="283"/>
      <c r="C29" s="293">
        <f t="shared" si="8"/>
        <v>379000</v>
      </c>
      <c r="D29" s="299" t="s">
        <v>42</v>
      </c>
      <c r="E29" s="68">
        <v>477300</v>
      </c>
      <c r="F29" s="295"/>
      <c r="G29" s="302">
        <f>G28+(E28-C28)*I28</f>
        <v>74208</v>
      </c>
      <c r="H29" s="299" t="s">
        <v>43</v>
      </c>
      <c r="I29" s="301">
        <v>0.32</v>
      </c>
      <c r="J29" s="296">
        <f t="shared" si="5"/>
        <v>379000</v>
      </c>
      <c r="K29" s="283"/>
      <c r="L29" s="283"/>
      <c r="M29" s="12"/>
      <c r="N29" s="12"/>
      <c r="O29" s="293">
        <f t="shared" si="9"/>
        <v>195950</v>
      </c>
      <c r="P29" s="299" t="s">
        <v>42</v>
      </c>
      <c r="Q29" s="68">
        <v>245100</v>
      </c>
      <c r="R29" s="295"/>
      <c r="S29" s="303">
        <f>S28+(Q28-O28)*U28</f>
        <v>37104</v>
      </c>
      <c r="T29" s="299" t="s">
        <v>43</v>
      </c>
      <c r="U29" s="301">
        <v>0.32</v>
      </c>
      <c r="V29" s="296">
        <f t="shared" si="6"/>
        <v>195950</v>
      </c>
      <c r="W29" s="296"/>
      <c r="X29" s="12"/>
      <c r="Y29" s="12"/>
      <c r="Z29" s="12"/>
      <c r="AA29" s="612"/>
      <c r="AB29" s="613" t="s">
        <v>300</v>
      </c>
      <c r="AC29" s="614" t="s">
        <v>301</v>
      </c>
      <c r="AD29" s="615"/>
      <c r="AE29" s="616"/>
      <c r="AF29" s="615"/>
      <c r="AG29" s="615">
        <v>7986</v>
      </c>
      <c r="AH29" s="617">
        <v>0.55430000000000001</v>
      </c>
      <c r="AI29" s="12"/>
    </row>
    <row r="30" spans="2:35" ht="12" customHeight="1" x14ac:dyDescent="0.2">
      <c r="B30" s="283"/>
      <c r="C30" s="293">
        <f t="shared" si="8"/>
        <v>477300</v>
      </c>
      <c r="D30" s="299" t="s">
        <v>42</v>
      </c>
      <c r="E30" s="68">
        <v>708550</v>
      </c>
      <c r="F30" s="295"/>
      <c r="G30" s="302">
        <f>G29+(E29-C29)*I29</f>
        <v>105664</v>
      </c>
      <c r="H30" s="299" t="s">
        <v>43</v>
      </c>
      <c r="I30" s="301">
        <v>0.35</v>
      </c>
      <c r="J30" s="296">
        <f t="shared" si="5"/>
        <v>477300</v>
      </c>
      <c r="K30" s="283"/>
      <c r="L30" s="283"/>
      <c r="M30" s="12"/>
      <c r="N30" s="12"/>
      <c r="O30" s="293">
        <f t="shared" si="9"/>
        <v>245100</v>
      </c>
      <c r="P30" s="299" t="s">
        <v>42</v>
      </c>
      <c r="Q30" s="68">
        <v>360725</v>
      </c>
      <c r="R30" s="295"/>
      <c r="S30" s="303">
        <f>S29+(Q29-O29)*U29</f>
        <v>52832</v>
      </c>
      <c r="T30" s="299" t="s">
        <v>43</v>
      </c>
      <c r="U30" s="301">
        <v>0.35</v>
      </c>
      <c r="V30" s="296">
        <f t="shared" si="6"/>
        <v>245100</v>
      </c>
      <c r="W30" s="296"/>
      <c r="X30" s="12"/>
      <c r="Y30" s="12"/>
      <c r="Z30" s="12"/>
      <c r="AA30" s="25"/>
      <c r="AB30" s="13"/>
      <c r="AC30" s="12"/>
      <c r="AD30" s="12"/>
      <c r="AE30" s="47"/>
      <c r="AF30" s="25"/>
      <c r="AG30" s="25"/>
      <c r="AH30" s="14"/>
      <c r="AI30" s="12"/>
    </row>
    <row r="31" spans="2:35" x14ac:dyDescent="0.2">
      <c r="B31" s="283"/>
      <c r="C31" s="293">
        <f t="shared" si="8"/>
        <v>708550</v>
      </c>
      <c r="D31" s="304" t="s">
        <v>44</v>
      </c>
      <c r="E31" s="295"/>
      <c r="F31" s="295"/>
      <c r="G31" s="302">
        <f>G30+(E30-C30)*I30</f>
        <v>186601.5</v>
      </c>
      <c r="H31" s="299" t="s">
        <v>43</v>
      </c>
      <c r="I31" s="301">
        <v>0.37</v>
      </c>
      <c r="J31" s="296">
        <f t="shared" si="5"/>
        <v>708550</v>
      </c>
      <c r="K31" s="283"/>
      <c r="L31" s="283"/>
      <c r="M31" s="12"/>
      <c r="N31" s="12"/>
      <c r="O31" s="293">
        <f t="shared" si="9"/>
        <v>360725</v>
      </c>
      <c r="P31" s="304" t="s">
        <v>44</v>
      </c>
      <c r="Q31" s="304"/>
      <c r="R31" s="295"/>
      <c r="S31" s="303">
        <f>S30+(Q30-O30)*U30</f>
        <v>93300.75</v>
      </c>
      <c r="T31" s="299" t="s">
        <v>43</v>
      </c>
      <c r="U31" s="301">
        <v>0.37</v>
      </c>
      <c r="V31" s="296">
        <f t="shared" si="6"/>
        <v>360725</v>
      </c>
      <c r="X31" s="12"/>
      <c r="Y31" s="12"/>
    </row>
    <row r="32" spans="2:35" x14ac:dyDescent="0.2">
      <c r="B32" s="283"/>
      <c r="C32" s="293"/>
      <c r="D32" s="304"/>
      <c r="E32" s="295"/>
      <c r="F32" s="295"/>
      <c r="G32" s="302"/>
      <c r="H32" s="299"/>
      <c r="I32" s="301"/>
      <c r="J32" s="296"/>
      <c r="K32" s="283"/>
      <c r="L32" s="283"/>
      <c r="M32" s="12"/>
      <c r="N32" s="12"/>
      <c r="O32" s="12"/>
      <c r="P32" s="12"/>
      <c r="Q32" s="12"/>
      <c r="R32" s="12"/>
      <c r="S32" s="12"/>
      <c r="T32" s="12"/>
      <c r="U32" s="12"/>
      <c r="V32" s="12"/>
      <c r="W32" s="12"/>
      <c r="X32" s="12"/>
      <c r="Y32" s="12"/>
    </row>
    <row r="33" spans="2:25" x14ac:dyDescent="0.2">
      <c r="B33" s="283"/>
      <c r="C33" s="288" t="s">
        <v>478</v>
      </c>
      <c r="D33" s="289"/>
      <c r="E33" s="289"/>
      <c r="F33" s="289"/>
      <c r="G33" s="289"/>
      <c r="H33" s="290" t="s">
        <v>161</v>
      </c>
      <c r="I33" s="289"/>
      <c r="J33" s="283"/>
      <c r="K33" s="283"/>
      <c r="L33" s="283"/>
      <c r="M33" s="12"/>
      <c r="N33" s="12"/>
      <c r="O33" s="288" t="s">
        <v>481</v>
      </c>
      <c r="P33" s="12"/>
      <c r="Q33" s="12"/>
      <c r="R33" s="12"/>
      <c r="S33" s="12"/>
      <c r="T33" s="290" t="s">
        <v>161</v>
      </c>
      <c r="U33" s="12"/>
      <c r="V33" s="12"/>
      <c r="W33" s="12"/>
      <c r="X33" s="12"/>
      <c r="Y33" s="12"/>
    </row>
    <row r="34" spans="2:25" x14ac:dyDescent="0.2">
      <c r="B34" s="283"/>
      <c r="C34" s="732" t="s">
        <v>34</v>
      </c>
      <c r="D34" s="732"/>
      <c r="E34" s="732"/>
      <c r="F34" s="283"/>
      <c r="G34" s="283"/>
      <c r="H34" s="283"/>
      <c r="I34" s="283"/>
      <c r="J34" s="283"/>
      <c r="K34" s="283"/>
      <c r="L34" s="283"/>
      <c r="M34" s="12"/>
      <c r="N34" s="12"/>
      <c r="O34" s="732" t="s">
        <v>34</v>
      </c>
      <c r="P34" s="732"/>
      <c r="Q34" s="732"/>
      <c r="X34" s="12"/>
      <c r="Y34" s="12"/>
    </row>
    <row r="35" spans="2:25" ht="12" customHeight="1" x14ac:dyDescent="0.2">
      <c r="B35" s="283"/>
      <c r="C35" s="732"/>
      <c r="D35" s="732"/>
      <c r="E35" s="732"/>
      <c r="F35" s="283"/>
      <c r="G35" s="292" t="s">
        <v>36</v>
      </c>
      <c r="H35" s="292"/>
      <c r="I35" s="283"/>
      <c r="J35" s="283"/>
      <c r="K35" s="283"/>
      <c r="L35" s="283"/>
      <c r="M35" s="12"/>
      <c r="N35" s="12"/>
      <c r="O35" s="732"/>
      <c r="P35" s="732"/>
      <c r="Q35" s="732"/>
      <c r="S35" s="292" t="s">
        <v>36</v>
      </c>
      <c r="X35" s="12"/>
      <c r="Y35" s="12"/>
    </row>
    <row r="36" spans="2:25" ht="12.75" x14ac:dyDescent="0.2">
      <c r="B36" s="283"/>
      <c r="C36" s="690">
        <v>0</v>
      </c>
      <c r="D36" s="294" t="s">
        <v>37</v>
      </c>
      <c r="E36" s="69">
        <v>12200</v>
      </c>
      <c r="F36" s="283" t="s">
        <v>38</v>
      </c>
      <c r="G36" s="691">
        <v>0</v>
      </c>
      <c r="H36" s="283"/>
      <c r="I36" s="693">
        <v>0</v>
      </c>
      <c r="J36" s="296">
        <v>0</v>
      </c>
      <c r="K36" s="283"/>
      <c r="L36" s="283"/>
      <c r="M36" s="12"/>
      <c r="N36" s="12"/>
      <c r="O36" s="695">
        <v>0</v>
      </c>
      <c r="P36" s="294" t="s">
        <v>37</v>
      </c>
      <c r="Q36" s="69">
        <v>10400</v>
      </c>
      <c r="R36" s="283" t="s">
        <v>38</v>
      </c>
      <c r="S36" s="691">
        <v>0</v>
      </c>
      <c r="T36" s="283"/>
      <c r="U36" s="693">
        <v>0</v>
      </c>
      <c r="V36" s="295"/>
      <c r="W36" s="296">
        <v>0</v>
      </c>
      <c r="X36" s="12"/>
      <c r="Y36" s="12"/>
    </row>
    <row r="37" spans="2:25" ht="12.75" x14ac:dyDescent="0.2">
      <c r="B37" s="283"/>
      <c r="C37" s="297" t="s">
        <v>39</v>
      </c>
      <c r="D37" s="283"/>
      <c r="E37" s="297" t="s">
        <v>40</v>
      </c>
      <c r="F37" s="283"/>
      <c r="G37" s="283"/>
      <c r="H37" s="283"/>
      <c r="I37" s="283"/>
      <c r="J37" s="298" t="s">
        <v>41</v>
      </c>
      <c r="K37" s="283"/>
      <c r="L37" s="283"/>
      <c r="M37" s="12"/>
      <c r="N37" s="12"/>
      <c r="O37" s="297" t="s">
        <v>39</v>
      </c>
      <c r="P37" s="283"/>
      <c r="Q37" s="297" t="s">
        <v>40</v>
      </c>
      <c r="R37" s="23"/>
      <c r="S37" s="283"/>
      <c r="T37" s="283"/>
      <c r="U37" s="283"/>
      <c r="V37" s="283"/>
      <c r="W37" s="298" t="s">
        <v>41</v>
      </c>
      <c r="X37" s="12"/>
      <c r="Y37" s="12"/>
    </row>
    <row r="38" spans="2:25" x14ac:dyDescent="0.2">
      <c r="B38" s="283"/>
      <c r="C38" s="293">
        <f>E36</f>
        <v>12200</v>
      </c>
      <c r="D38" s="299" t="s">
        <v>42</v>
      </c>
      <c r="E38" s="68">
        <v>27900</v>
      </c>
      <c r="F38" s="295"/>
      <c r="G38" s="300"/>
      <c r="H38" s="300"/>
      <c r="I38" s="301">
        <v>0.1</v>
      </c>
      <c r="J38" s="296">
        <f t="shared" ref="J38:J44" si="10">C38</f>
        <v>12200</v>
      </c>
      <c r="K38" s="283"/>
      <c r="L38" s="283"/>
      <c r="M38" s="12"/>
      <c r="N38" s="12"/>
      <c r="O38" s="293">
        <f>Q36</f>
        <v>10400</v>
      </c>
      <c r="P38" s="299" t="s">
        <v>42</v>
      </c>
      <c r="Q38" s="68">
        <v>18250</v>
      </c>
      <c r="R38" s="295"/>
      <c r="S38" s="691">
        <v>0</v>
      </c>
      <c r="T38" s="300"/>
      <c r="U38" s="301">
        <v>0.1</v>
      </c>
      <c r="V38" s="296">
        <f t="shared" ref="V38:V44" si="11">O38</f>
        <v>10400</v>
      </c>
      <c r="W38" s="296" t="str">
        <f t="shared" ref="W38" si="12">P38</f>
        <v>-</v>
      </c>
      <c r="X38" s="12"/>
      <c r="Y38" s="12"/>
    </row>
    <row r="39" spans="2:25" x14ac:dyDescent="0.2">
      <c r="B39" s="283"/>
      <c r="C39" s="293">
        <f>E38</f>
        <v>27900</v>
      </c>
      <c r="D39" s="299" t="s">
        <v>42</v>
      </c>
      <c r="E39" s="68">
        <v>72050</v>
      </c>
      <c r="F39" s="295"/>
      <c r="G39" s="302">
        <f>(E38-C38)*I38</f>
        <v>1570</v>
      </c>
      <c r="H39" s="299" t="s">
        <v>43</v>
      </c>
      <c r="I39" s="301">
        <v>0.12</v>
      </c>
      <c r="J39" s="296">
        <f t="shared" si="10"/>
        <v>27900</v>
      </c>
      <c r="K39" s="283"/>
      <c r="L39" s="283"/>
      <c r="M39" s="12"/>
      <c r="N39" s="12"/>
      <c r="O39" s="293">
        <f>Q38</f>
        <v>18250</v>
      </c>
      <c r="P39" s="299" t="s">
        <v>42</v>
      </c>
      <c r="Q39" s="68">
        <v>40325</v>
      </c>
      <c r="R39" s="295"/>
      <c r="S39" s="303">
        <f>(Q38-O38)*U38</f>
        <v>785</v>
      </c>
      <c r="T39" s="299" t="s">
        <v>43</v>
      </c>
      <c r="U39" s="301">
        <v>0.12</v>
      </c>
      <c r="V39" s="296">
        <f t="shared" si="11"/>
        <v>18250</v>
      </c>
      <c r="W39" s="296"/>
      <c r="X39" s="12"/>
      <c r="Y39" s="12"/>
    </row>
    <row r="40" spans="2:25" x14ac:dyDescent="0.2">
      <c r="B40" s="283"/>
      <c r="C40" s="293">
        <f t="shared" ref="C40:C44" si="13">E39</f>
        <v>72050</v>
      </c>
      <c r="D40" s="299" t="s">
        <v>42</v>
      </c>
      <c r="E40" s="68">
        <v>107550</v>
      </c>
      <c r="F40" s="295"/>
      <c r="G40" s="302">
        <f>G39+(E39-C39)*I39</f>
        <v>6868</v>
      </c>
      <c r="H40" s="299" t="s">
        <v>43</v>
      </c>
      <c r="I40" s="301">
        <v>0.22</v>
      </c>
      <c r="J40" s="296">
        <f t="shared" si="10"/>
        <v>72050</v>
      </c>
      <c r="K40" s="283"/>
      <c r="L40" s="283"/>
      <c r="M40" s="12"/>
      <c r="N40" s="12"/>
      <c r="O40" s="293">
        <f t="shared" ref="O40:O44" si="14">Q39</f>
        <v>40325</v>
      </c>
      <c r="P40" s="299" t="s">
        <v>42</v>
      </c>
      <c r="Q40" s="68">
        <v>58075</v>
      </c>
      <c r="R40" s="295"/>
      <c r="S40" s="303">
        <f>S39+(Q39-O39)*U39</f>
        <v>3434</v>
      </c>
      <c r="T40" s="299" t="s">
        <v>43</v>
      </c>
      <c r="U40" s="301">
        <v>0.22</v>
      </c>
      <c r="V40" s="296">
        <f t="shared" si="11"/>
        <v>40325</v>
      </c>
      <c r="W40" s="296"/>
      <c r="X40" s="12"/>
      <c r="Y40" s="12"/>
    </row>
    <row r="41" spans="2:25" x14ac:dyDescent="0.2">
      <c r="B41" s="283"/>
      <c r="C41" s="293">
        <f t="shared" si="13"/>
        <v>107550</v>
      </c>
      <c r="D41" s="299" t="s">
        <v>42</v>
      </c>
      <c r="E41" s="68">
        <v>194300</v>
      </c>
      <c r="F41" s="295"/>
      <c r="G41" s="302">
        <f>G40+(E40-C40)*I40</f>
        <v>14678</v>
      </c>
      <c r="H41" s="299" t="s">
        <v>43</v>
      </c>
      <c r="I41" s="301">
        <v>0.24</v>
      </c>
      <c r="J41" s="296">
        <f t="shared" si="10"/>
        <v>107550</v>
      </c>
      <c r="K41" s="283"/>
      <c r="L41" s="283"/>
      <c r="M41" s="12"/>
      <c r="N41" s="12"/>
      <c r="O41" s="293">
        <f t="shared" si="14"/>
        <v>58075</v>
      </c>
      <c r="P41" s="299" t="s">
        <v>42</v>
      </c>
      <c r="Q41" s="68">
        <v>101450</v>
      </c>
      <c r="R41" s="295"/>
      <c r="S41" s="303">
        <f>S40+(Q40-O40)*U40</f>
        <v>7339</v>
      </c>
      <c r="T41" s="299" t="s">
        <v>43</v>
      </c>
      <c r="U41" s="301">
        <v>0.24</v>
      </c>
      <c r="V41" s="296">
        <f t="shared" si="11"/>
        <v>58075</v>
      </c>
      <c r="W41" s="296"/>
      <c r="X41" s="12"/>
      <c r="Y41" s="12"/>
    </row>
    <row r="42" spans="2:25" x14ac:dyDescent="0.2">
      <c r="B42" s="283"/>
      <c r="C42" s="293">
        <f t="shared" si="13"/>
        <v>194300</v>
      </c>
      <c r="D42" s="299" t="s">
        <v>42</v>
      </c>
      <c r="E42" s="68">
        <v>243450</v>
      </c>
      <c r="F42" s="295"/>
      <c r="G42" s="302">
        <f>G41+(E41-C41)*I41</f>
        <v>35498</v>
      </c>
      <c r="H42" s="299" t="s">
        <v>43</v>
      </c>
      <c r="I42" s="301">
        <v>0.32</v>
      </c>
      <c r="J42" s="296">
        <f t="shared" si="10"/>
        <v>194300</v>
      </c>
      <c r="K42" s="283"/>
      <c r="L42" s="283"/>
      <c r="M42" s="12"/>
      <c r="N42" s="12"/>
      <c r="O42" s="293">
        <f t="shared" si="14"/>
        <v>101450</v>
      </c>
      <c r="P42" s="299" t="s">
        <v>42</v>
      </c>
      <c r="Q42" s="68">
        <v>126025</v>
      </c>
      <c r="R42" s="295"/>
      <c r="S42" s="303">
        <f>S41+(Q41-O41)*U41</f>
        <v>17749</v>
      </c>
      <c r="T42" s="299" t="s">
        <v>43</v>
      </c>
      <c r="U42" s="301">
        <v>0.32</v>
      </c>
      <c r="V42" s="296">
        <f t="shared" si="11"/>
        <v>101450</v>
      </c>
      <c r="W42" s="296"/>
      <c r="X42" s="12"/>
      <c r="Y42" s="12"/>
    </row>
    <row r="43" spans="2:25" x14ac:dyDescent="0.2">
      <c r="B43" s="283"/>
      <c r="C43" s="293">
        <f t="shared" si="13"/>
        <v>243450</v>
      </c>
      <c r="D43" s="299" t="s">
        <v>42</v>
      </c>
      <c r="E43" s="68">
        <v>590300</v>
      </c>
      <c r="F43" s="295"/>
      <c r="G43" s="302">
        <f>G42+(E42-C42)*I42</f>
        <v>51226</v>
      </c>
      <c r="H43" s="299" t="s">
        <v>43</v>
      </c>
      <c r="I43" s="301">
        <v>0.35</v>
      </c>
      <c r="J43" s="296">
        <f t="shared" si="10"/>
        <v>243450</v>
      </c>
      <c r="K43" s="283"/>
      <c r="L43" s="283"/>
      <c r="M43" s="12"/>
      <c r="N43" s="12"/>
      <c r="O43" s="293">
        <f t="shared" si="14"/>
        <v>126025</v>
      </c>
      <c r="P43" s="299" t="s">
        <v>42</v>
      </c>
      <c r="Q43" s="68">
        <v>299450</v>
      </c>
      <c r="R43" s="295"/>
      <c r="S43" s="303">
        <f>S42+(Q42-O42)*U42</f>
        <v>25613</v>
      </c>
      <c r="T43" s="299" t="s">
        <v>43</v>
      </c>
      <c r="U43" s="301">
        <v>0.35</v>
      </c>
      <c r="V43" s="296">
        <f t="shared" si="11"/>
        <v>126025</v>
      </c>
      <c r="W43" s="296"/>
      <c r="X43" s="12"/>
      <c r="Y43" s="12"/>
    </row>
    <row r="44" spans="2:25" x14ac:dyDescent="0.2">
      <c r="B44" s="283"/>
      <c r="C44" s="293">
        <f t="shared" si="13"/>
        <v>590300</v>
      </c>
      <c r="D44" s="304" t="s">
        <v>44</v>
      </c>
      <c r="E44" s="304"/>
      <c r="F44" s="295"/>
      <c r="G44" s="302">
        <f>G43+(E43-C43)*I43</f>
        <v>172623.5</v>
      </c>
      <c r="H44" s="299" t="s">
        <v>43</v>
      </c>
      <c r="I44" s="301">
        <v>0.37</v>
      </c>
      <c r="J44" s="296">
        <f t="shared" si="10"/>
        <v>590300</v>
      </c>
      <c r="K44" s="283"/>
      <c r="L44" s="283"/>
      <c r="M44" s="12"/>
      <c r="N44" s="12"/>
      <c r="O44" s="293">
        <f t="shared" si="14"/>
        <v>299450</v>
      </c>
      <c r="P44" s="304" t="s">
        <v>44</v>
      </c>
      <c r="Q44" s="304"/>
      <c r="R44" s="295"/>
      <c r="S44" s="303">
        <f>S43+(Q43-O43)*U43</f>
        <v>86311.75</v>
      </c>
      <c r="T44" s="299" t="s">
        <v>43</v>
      </c>
      <c r="U44" s="301">
        <v>0.37</v>
      </c>
      <c r="V44" s="296">
        <f t="shared" si="11"/>
        <v>299450</v>
      </c>
      <c r="X44" s="12"/>
      <c r="Y44" s="12"/>
    </row>
    <row r="45" spans="2:25" x14ac:dyDescent="0.2">
      <c r="B45" s="283"/>
      <c r="C45" s="293"/>
      <c r="D45" s="304"/>
      <c r="E45" s="295"/>
      <c r="F45" s="295"/>
      <c r="G45" s="302"/>
      <c r="H45" s="299"/>
      <c r="I45" s="301"/>
      <c r="J45" s="296"/>
      <c r="K45" s="283"/>
      <c r="L45" s="283"/>
      <c r="M45" s="12"/>
      <c r="N45" s="12"/>
      <c r="O45" s="12"/>
      <c r="P45" s="12"/>
      <c r="Q45" s="12"/>
      <c r="R45" s="12"/>
      <c r="S45" s="12"/>
      <c r="T45" s="12"/>
      <c r="U45" s="12"/>
      <c r="V45" s="12"/>
      <c r="W45" s="12"/>
      <c r="X45" s="12"/>
      <c r="Y45" s="12"/>
    </row>
    <row r="46" spans="2:25" x14ac:dyDescent="0.2">
      <c r="B46" s="283"/>
      <c r="C46" s="293"/>
      <c r="D46" s="304"/>
      <c r="E46" s="308"/>
      <c r="F46" s="295"/>
      <c r="G46" s="309"/>
      <c r="H46" s="309"/>
      <c r="I46" s="295"/>
      <c r="J46" s="283"/>
      <c r="K46" s="283"/>
      <c r="L46" s="283"/>
      <c r="M46" s="12"/>
      <c r="N46" s="12"/>
      <c r="O46" s="12"/>
      <c r="P46" s="12"/>
      <c r="Q46" s="12"/>
      <c r="R46" s="12"/>
      <c r="S46" s="12"/>
      <c r="T46" s="12"/>
      <c r="U46" s="12"/>
      <c r="V46" s="12"/>
      <c r="W46" s="12"/>
      <c r="X46" s="12"/>
      <c r="Y46" s="12"/>
    </row>
    <row r="47" spans="2:25" x14ac:dyDescent="0.2">
      <c r="B47" s="283"/>
      <c r="C47" s="310" t="s">
        <v>55</v>
      </c>
      <c r="D47" s="304"/>
      <c r="E47" s="295"/>
      <c r="F47" s="295"/>
      <c r="G47" s="309"/>
      <c r="H47" s="309"/>
      <c r="I47" s="295"/>
      <c r="J47" s="70">
        <v>4300</v>
      </c>
      <c r="K47" s="283" t="s">
        <v>56</v>
      </c>
      <c r="L47" s="283"/>
      <c r="M47" s="12"/>
      <c r="N47" s="12"/>
      <c r="O47" s="12"/>
      <c r="P47" s="12"/>
      <c r="Q47" s="12"/>
      <c r="R47" s="12"/>
      <c r="S47" s="12"/>
      <c r="T47" s="12"/>
      <c r="U47" s="12"/>
      <c r="V47" s="12"/>
      <c r="W47" s="12"/>
      <c r="X47" s="12"/>
      <c r="Y47" s="12"/>
    </row>
    <row r="48" spans="2:25" x14ac:dyDescent="0.2">
      <c r="B48" s="283"/>
      <c r="C48" s="311" t="s">
        <v>58</v>
      </c>
      <c r="D48" s="304"/>
      <c r="E48" s="295"/>
      <c r="F48" s="295"/>
      <c r="G48" s="309"/>
      <c r="H48" s="309"/>
      <c r="I48" s="295"/>
      <c r="J48" s="296"/>
      <c r="K48" s="283"/>
      <c r="L48" s="283"/>
      <c r="M48" s="12"/>
      <c r="N48" s="12"/>
      <c r="O48" s="12"/>
      <c r="P48" s="12"/>
      <c r="Q48" s="12"/>
      <c r="R48" s="12"/>
      <c r="S48" s="12"/>
      <c r="T48" s="12"/>
      <c r="U48" s="12"/>
      <c r="V48" s="12"/>
      <c r="W48" s="12"/>
      <c r="X48" s="12"/>
      <c r="Y48" s="12"/>
    </row>
    <row r="49" spans="2:34" x14ac:dyDescent="0.2">
      <c r="B49" s="283"/>
      <c r="C49" s="312" t="s">
        <v>59</v>
      </c>
      <c r="D49" s="304"/>
      <c r="E49" s="295"/>
      <c r="F49" s="295"/>
      <c r="G49" s="309"/>
      <c r="H49" s="309"/>
      <c r="I49" s="295"/>
      <c r="J49" s="296"/>
      <c r="K49" s="283"/>
      <c r="L49" s="283"/>
      <c r="M49" s="12"/>
      <c r="N49" s="12"/>
      <c r="O49" s="12"/>
      <c r="P49" s="12"/>
      <c r="Q49" s="12"/>
      <c r="R49" s="12"/>
      <c r="S49" s="12"/>
      <c r="T49" s="12"/>
      <c r="U49" s="12"/>
      <c r="V49" s="12"/>
      <c r="W49" s="12"/>
      <c r="X49" s="12"/>
      <c r="Y49" s="12"/>
    </row>
    <row r="50" spans="2:34" x14ac:dyDescent="0.2">
      <c r="B50" s="283"/>
      <c r="C50" s="304"/>
      <c r="D50" s="304"/>
      <c r="E50" s="295"/>
      <c r="F50" s="295"/>
      <c r="G50" s="309"/>
      <c r="H50" s="309"/>
      <c r="I50" s="295"/>
      <c r="J50" s="296"/>
      <c r="K50" s="283"/>
      <c r="L50" s="283"/>
      <c r="M50" s="12"/>
      <c r="N50" s="12"/>
      <c r="O50" s="12"/>
      <c r="P50" s="12"/>
      <c r="Q50" s="12"/>
      <c r="R50" s="12"/>
      <c r="S50" s="12"/>
      <c r="T50" s="12"/>
      <c r="U50" s="12"/>
      <c r="V50" s="12"/>
      <c r="W50" s="12"/>
      <c r="X50" s="12"/>
      <c r="Y50" s="12"/>
    </row>
    <row r="51" spans="2:34" x14ac:dyDescent="0.2">
      <c r="B51" s="283"/>
      <c r="C51" s="304"/>
      <c r="D51" s="304"/>
      <c r="E51" s="295"/>
      <c r="F51" s="295"/>
      <c r="G51" s="309"/>
      <c r="H51" s="309"/>
      <c r="I51" s="295"/>
      <c r="J51" s="296"/>
      <c r="K51" s="283"/>
      <c r="L51" s="283"/>
      <c r="M51" s="12"/>
      <c r="N51" s="12"/>
      <c r="O51" s="12"/>
      <c r="P51" s="12"/>
      <c r="Q51" s="12"/>
      <c r="R51" s="12"/>
      <c r="S51" s="12"/>
      <c r="T51" s="12"/>
      <c r="U51" s="12"/>
      <c r="V51" s="12"/>
      <c r="W51" s="12"/>
      <c r="X51" s="12"/>
      <c r="Y51" s="12"/>
    </row>
    <row r="52" spans="2:34" s="12" customFormat="1" ht="12.75" thickBot="1" x14ac:dyDescent="0.25">
      <c r="C52" s="645"/>
      <c r="D52" s="645"/>
      <c r="E52" s="646"/>
      <c r="F52" s="646"/>
      <c r="G52" s="647"/>
      <c r="H52" s="647"/>
      <c r="I52" s="646"/>
      <c r="J52" s="648"/>
      <c r="AB52" s="13"/>
      <c r="AE52" s="14"/>
      <c r="AH52" s="14"/>
    </row>
    <row r="53" spans="2:34" s="12" customFormat="1" x14ac:dyDescent="0.2">
      <c r="C53" s="738" t="s">
        <v>482</v>
      </c>
      <c r="D53" s="739"/>
      <c r="E53" s="657">
        <f>FederalTaxableWage</f>
        <v>0</v>
      </c>
      <c r="F53" s="646"/>
      <c r="G53" s="647"/>
      <c r="H53" s="647"/>
      <c r="I53" s="646"/>
      <c r="J53" s="648"/>
      <c r="AB53" s="13"/>
      <c r="AE53" s="14"/>
      <c r="AH53" s="14"/>
    </row>
    <row r="54" spans="2:34" s="12" customFormat="1" x14ac:dyDescent="0.2">
      <c r="C54" s="727" t="s">
        <v>483</v>
      </c>
      <c r="D54" s="728"/>
      <c r="E54" s="658" t="str">
        <f>ESTIMATOR!H49</f>
        <v>Married</v>
      </c>
      <c r="F54" s="646">
        <f>IF($E$54="Married", 12900,8600)</f>
        <v>12900</v>
      </c>
      <c r="G54" s="647">
        <v>8600</v>
      </c>
      <c r="H54" s="647"/>
      <c r="I54" s="646"/>
      <c r="J54" s="648"/>
      <c r="AB54" s="13"/>
      <c r="AE54" s="14"/>
      <c r="AH54" s="14"/>
    </row>
    <row r="55" spans="2:34" s="12" customFormat="1" x14ac:dyDescent="0.2">
      <c r="C55" s="727" t="s">
        <v>130</v>
      </c>
      <c r="D55" s="728"/>
      <c r="E55" s="659" t="str">
        <f>ESTIMATOR!G49</f>
        <v>No</v>
      </c>
      <c r="F55" s="646"/>
      <c r="G55" s="647"/>
      <c r="H55" s="647"/>
      <c r="I55" s="646"/>
      <c r="J55" s="648"/>
      <c r="AB55" s="13"/>
      <c r="AE55" s="14"/>
      <c r="AH55" s="14"/>
    </row>
    <row r="56" spans="2:34" s="12" customFormat="1" x14ac:dyDescent="0.2">
      <c r="C56" s="727" t="s">
        <v>490</v>
      </c>
      <c r="D56" s="728"/>
      <c r="E56" s="658" t="str">
        <f>ESTIMATOR!I49</f>
        <v>2020 or After</v>
      </c>
      <c r="F56" s="646"/>
      <c r="G56" s="647"/>
      <c r="H56" s="647"/>
      <c r="I56" s="646"/>
      <c r="J56" s="648"/>
      <c r="AB56" s="13"/>
      <c r="AE56" s="14"/>
      <c r="AH56" s="14"/>
    </row>
    <row r="57" spans="2:34" s="12" customFormat="1" x14ac:dyDescent="0.2">
      <c r="C57" s="727" t="s">
        <v>491</v>
      </c>
      <c r="D57" s="728"/>
      <c r="E57" s="663">
        <f>ESTIMATOR!K49</f>
        <v>1</v>
      </c>
      <c r="F57" s="646"/>
      <c r="G57" s="647"/>
      <c r="H57" s="647"/>
      <c r="I57" s="646"/>
      <c r="J57" s="648"/>
      <c r="AB57" s="13"/>
      <c r="AE57" s="14"/>
      <c r="AH57" s="14"/>
    </row>
    <row r="58" spans="2:34" s="12" customFormat="1" x14ac:dyDescent="0.2">
      <c r="C58" s="727" t="s">
        <v>492</v>
      </c>
      <c r="D58" s="728"/>
      <c r="E58" s="660" t="str">
        <f>ESTIMATOR!N49</f>
        <v>No</v>
      </c>
      <c r="F58" s="646"/>
      <c r="G58" s="647"/>
      <c r="H58" s="647"/>
      <c r="I58" s="646"/>
      <c r="J58" s="648"/>
      <c r="AB58" s="13"/>
      <c r="AE58" s="14"/>
      <c r="AH58" s="14"/>
    </row>
    <row r="59" spans="2:34" s="12" customFormat="1" x14ac:dyDescent="0.2">
      <c r="C59" s="727" t="s">
        <v>493</v>
      </c>
      <c r="D59" s="728"/>
      <c r="E59" s="660">
        <f>ESTIMATOR!R49</f>
        <v>0</v>
      </c>
      <c r="F59" s="646"/>
      <c r="G59" s="647"/>
      <c r="H59" s="647"/>
      <c r="I59" s="646"/>
      <c r="J59" s="648"/>
      <c r="AB59" s="13"/>
      <c r="AE59" s="14"/>
      <c r="AH59" s="14"/>
    </row>
    <row r="60" spans="2:34" s="12" customFormat="1" x14ac:dyDescent="0.2">
      <c r="C60" s="727" t="s">
        <v>494</v>
      </c>
      <c r="D60" s="728"/>
      <c r="E60" s="660">
        <f>ESTIMATOR!S49</f>
        <v>0</v>
      </c>
      <c r="F60" s="646"/>
      <c r="G60" s="647"/>
      <c r="H60" s="647"/>
      <c r="I60" s="646"/>
      <c r="J60" s="648"/>
      <c r="AB60" s="13"/>
      <c r="AE60" s="14"/>
      <c r="AH60" s="14"/>
    </row>
    <row r="61" spans="2:34" s="12" customFormat="1" x14ac:dyDescent="0.2">
      <c r="C61" s="727" t="s">
        <v>495</v>
      </c>
      <c r="D61" s="728"/>
      <c r="E61" s="660">
        <f>ESTIMATOR!U49</f>
        <v>0</v>
      </c>
      <c r="F61" s="646"/>
      <c r="G61" s="647"/>
      <c r="H61" s="647"/>
      <c r="I61" s="646"/>
      <c r="J61" s="648"/>
      <c r="AB61" s="13"/>
      <c r="AE61" s="14"/>
      <c r="AH61" s="14"/>
    </row>
    <row r="62" spans="2:34" s="12" customFormat="1" x14ac:dyDescent="0.2">
      <c r="C62" s="727" t="s">
        <v>496</v>
      </c>
      <c r="D62" s="728"/>
      <c r="E62" s="660">
        <f>ESTIMATOR!V49</f>
        <v>0</v>
      </c>
      <c r="F62" s="646"/>
      <c r="G62" s="647"/>
      <c r="H62" s="647"/>
      <c r="I62" s="646"/>
      <c r="J62" s="648"/>
      <c r="AB62" s="13"/>
      <c r="AE62" s="14"/>
      <c r="AH62" s="14"/>
    </row>
    <row r="63" spans="2:34" s="12" customFormat="1" ht="12.75" thickBot="1" x14ac:dyDescent="0.25">
      <c r="C63" s="729" t="s">
        <v>498</v>
      </c>
      <c r="D63" s="730"/>
      <c r="E63" s="661">
        <v>26</v>
      </c>
      <c r="F63" s="646"/>
      <c r="G63" s="647"/>
      <c r="H63" s="647"/>
      <c r="I63" s="646"/>
      <c r="J63" s="648"/>
      <c r="AB63" s="13"/>
      <c r="AE63" s="14"/>
      <c r="AH63" s="14"/>
    </row>
    <row r="64" spans="2:34" s="12" customFormat="1" x14ac:dyDescent="0.2">
      <c r="C64" s="645"/>
      <c r="D64" s="645"/>
      <c r="E64" s="646"/>
      <c r="F64" s="646"/>
      <c r="G64" s="647"/>
      <c r="H64" s="647"/>
      <c r="I64" s="646"/>
      <c r="J64" s="648"/>
      <c r="AB64" s="13"/>
      <c r="AE64" s="14"/>
      <c r="AH64" s="14"/>
    </row>
    <row r="65" spans="3:34" s="12" customFormat="1" x14ac:dyDescent="0.2">
      <c r="C65" s="645"/>
      <c r="D65" s="728" t="s">
        <v>499</v>
      </c>
      <c r="E65" s="728"/>
      <c r="F65" s="643">
        <f>ROUND((E53*E63),2)</f>
        <v>0</v>
      </c>
      <c r="G65" s="647"/>
      <c r="H65" s="647"/>
      <c r="I65" s="646"/>
      <c r="J65" s="648"/>
      <c r="AB65" s="13"/>
      <c r="AE65" s="14"/>
      <c r="AH65" s="14"/>
    </row>
    <row r="66" spans="3:34" s="12" customFormat="1" x14ac:dyDescent="0.2">
      <c r="C66" s="645" t="s">
        <v>500</v>
      </c>
      <c r="D66" s="645"/>
      <c r="E66" s="646"/>
      <c r="F66" s="662">
        <f>E60</f>
        <v>0</v>
      </c>
      <c r="G66" s="647"/>
      <c r="H66" s="647"/>
      <c r="I66" s="646"/>
      <c r="J66" s="648"/>
      <c r="AB66" s="13"/>
      <c r="AE66" s="14"/>
      <c r="AH66" s="14"/>
    </row>
    <row r="67" spans="3:34" s="12" customFormat="1" x14ac:dyDescent="0.2">
      <c r="C67" s="645" t="s">
        <v>501</v>
      </c>
      <c r="D67" s="645"/>
      <c r="E67" s="646"/>
      <c r="F67" s="643">
        <f>SUM(F65:F66)</f>
        <v>0</v>
      </c>
      <c r="G67" s="647"/>
      <c r="H67" s="647"/>
      <c r="I67" s="646"/>
      <c r="J67" s="648"/>
      <c r="AB67" s="13"/>
      <c r="AE67" s="14"/>
      <c r="AH67" s="14"/>
    </row>
    <row r="68" spans="3:34" s="12" customFormat="1" x14ac:dyDescent="0.2">
      <c r="C68" s="645" t="s">
        <v>502</v>
      </c>
      <c r="D68" s="645"/>
      <c r="E68" s="646"/>
      <c r="F68" s="662">
        <f>E61</f>
        <v>0</v>
      </c>
      <c r="G68" s="647"/>
      <c r="H68" s="647"/>
      <c r="I68" s="646"/>
      <c r="J68" s="648"/>
      <c r="AB68" s="13"/>
      <c r="AE68" s="14"/>
      <c r="AH68" s="14"/>
    </row>
    <row r="69" spans="3:34" s="12" customFormat="1" x14ac:dyDescent="0.2">
      <c r="C69" s="645" t="s">
        <v>503</v>
      </c>
      <c r="D69" s="645"/>
      <c r="E69" s="646"/>
      <c r="F69" s="643">
        <f>ROUND((IF($E$58="Yes",0,IF($E$54="Married",$F$54,$G$54))),2)</f>
        <v>12900</v>
      </c>
      <c r="G69" s="647"/>
      <c r="H69" s="647"/>
      <c r="I69" s="646"/>
      <c r="J69" s="648"/>
      <c r="AB69" s="13"/>
      <c r="AE69" s="14"/>
      <c r="AH69" s="14"/>
    </row>
    <row r="70" spans="3:34" s="12" customFormat="1" x14ac:dyDescent="0.2">
      <c r="C70" s="645" t="s">
        <v>504</v>
      </c>
      <c r="D70" s="645"/>
      <c r="E70" s="646"/>
      <c r="F70" s="656">
        <f>ROUND((F68+F69),2)</f>
        <v>12900</v>
      </c>
      <c r="G70" s="647"/>
      <c r="H70" s="647"/>
      <c r="I70" s="646"/>
      <c r="J70" s="648"/>
      <c r="AB70" s="13"/>
      <c r="AE70" s="14"/>
      <c r="AH70" s="14"/>
    </row>
    <row r="71" spans="3:34" s="12" customFormat="1" x14ac:dyDescent="0.2">
      <c r="C71" s="645" t="s">
        <v>505</v>
      </c>
      <c r="D71" s="645"/>
      <c r="E71" s="646"/>
      <c r="F71" s="643">
        <f>ROUND((F67-F70),2)</f>
        <v>-12900</v>
      </c>
      <c r="G71" s="647"/>
      <c r="H71" s="647"/>
      <c r="I71" s="646"/>
      <c r="J71" s="648"/>
      <c r="AB71" s="13"/>
      <c r="AE71" s="14"/>
      <c r="AH71" s="14"/>
    </row>
    <row r="72" spans="3:34" s="12" customFormat="1" x14ac:dyDescent="0.2">
      <c r="C72" s="645" t="s">
        <v>491</v>
      </c>
      <c r="D72" s="645"/>
      <c r="E72" s="646"/>
      <c r="F72" s="643">
        <f>ROUND((E57*J47),2)</f>
        <v>4300</v>
      </c>
      <c r="G72" s="647"/>
      <c r="H72" s="647"/>
      <c r="I72" s="646"/>
      <c r="J72" s="648"/>
      <c r="AB72" s="13"/>
      <c r="AE72" s="14"/>
      <c r="AH72" s="14"/>
    </row>
    <row r="73" spans="3:34" s="12" customFormat="1" x14ac:dyDescent="0.2">
      <c r="C73" s="645" t="s">
        <v>506</v>
      </c>
      <c r="D73" s="645"/>
      <c r="E73" s="646"/>
      <c r="F73" s="643">
        <f>ROUND((F65-F72),2)</f>
        <v>-4300</v>
      </c>
      <c r="G73" s="647"/>
      <c r="H73" s="647"/>
      <c r="I73" s="646"/>
      <c r="J73" s="648"/>
      <c r="AB73" s="13"/>
      <c r="AE73" s="14"/>
      <c r="AH73" s="14"/>
    </row>
    <row r="74" spans="3:34" s="12" customFormat="1" x14ac:dyDescent="0.2">
      <c r="C74" s="664" t="s">
        <v>507</v>
      </c>
      <c r="D74" s="664"/>
      <c r="E74" s="665"/>
      <c r="F74" s="666"/>
      <c r="G74" s="667"/>
      <c r="H74" s="647"/>
      <c r="I74" s="646"/>
      <c r="J74" s="648"/>
      <c r="AB74" s="13"/>
      <c r="AE74" s="14"/>
      <c r="AH74" s="14"/>
    </row>
    <row r="75" spans="3:34" s="12" customFormat="1" x14ac:dyDescent="0.2">
      <c r="C75" s="645" t="s">
        <v>537</v>
      </c>
      <c r="D75" s="645"/>
      <c r="E75" s="646"/>
      <c r="F75" s="643">
        <f>F71</f>
        <v>-12900</v>
      </c>
      <c r="G75" s="647"/>
      <c r="H75" s="647"/>
      <c r="I75" s="646"/>
      <c r="J75" s="648"/>
      <c r="AB75" s="13"/>
      <c r="AE75" s="14"/>
      <c r="AH75" s="14"/>
    </row>
    <row r="76" spans="3:34" s="12" customFormat="1" x14ac:dyDescent="0.2">
      <c r="C76" s="645" t="s">
        <v>508</v>
      </c>
      <c r="D76" s="645"/>
      <c r="E76" s="646"/>
      <c r="F76" s="643">
        <f>ROUND((IF($F$71&lt;0,0,IF($E$54="Single",VLOOKUP($F$71,$C$10:$J$18,8,TRUE),0))),2)</f>
        <v>0</v>
      </c>
      <c r="G76" s="647"/>
      <c r="H76" s="647"/>
      <c r="I76" s="646"/>
      <c r="J76" s="648"/>
      <c r="AB76" s="13"/>
      <c r="AE76" s="14"/>
      <c r="AH76" s="14"/>
    </row>
    <row r="77" spans="3:34" s="12" customFormat="1" ht="15" x14ac:dyDescent="0.25">
      <c r="C77" s="645" t="s">
        <v>509</v>
      </c>
      <c r="D77" s="645"/>
      <c r="E77" s="646"/>
      <c r="F77" s="668">
        <f>ROUND((IF($F$71&lt;0,0,IF($E$54="Married",VLOOKUP($F$71,$C$23:$J$31,8,TRUE),0))),2)</f>
        <v>0</v>
      </c>
      <c r="G77" s="647"/>
      <c r="H77" s="647"/>
      <c r="I77" s="646"/>
      <c r="J77" s="648"/>
      <c r="AB77" s="13"/>
      <c r="AE77" s="14"/>
      <c r="AH77" s="14"/>
    </row>
    <row r="78" spans="3:34" s="12" customFormat="1" ht="15" x14ac:dyDescent="0.25">
      <c r="C78" s="645" t="s">
        <v>510</v>
      </c>
      <c r="D78" s="645"/>
      <c r="E78" s="646"/>
      <c r="F78" s="668">
        <f>ROUND((IF($F$71&lt;0,0,IF($E$54="Head of Household",VLOOKUP($F$71,$C$36:$J$44,8,TRUE),0))),2)</f>
        <v>0</v>
      </c>
      <c r="G78" s="647"/>
      <c r="H78" s="647"/>
      <c r="I78" s="646"/>
      <c r="J78" s="648"/>
      <c r="AB78" s="13"/>
      <c r="AE78" s="14"/>
      <c r="AH78" s="14"/>
    </row>
    <row r="79" spans="3:34" s="12" customFormat="1" x14ac:dyDescent="0.2">
      <c r="C79" s="664" t="s">
        <v>511</v>
      </c>
      <c r="D79" s="645"/>
      <c r="E79" s="646"/>
      <c r="F79" s="676">
        <f>ROUND((SUM(F76:F78)),2)</f>
        <v>0</v>
      </c>
      <c r="G79" s="647"/>
      <c r="H79" s="647"/>
      <c r="I79" s="646"/>
      <c r="J79" s="648"/>
      <c r="AB79" s="13"/>
      <c r="AE79" s="14"/>
      <c r="AH79" s="14"/>
    </row>
    <row r="80" spans="3:34" s="12" customFormat="1" ht="15" x14ac:dyDescent="0.25">
      <c r="C80" s="645" t="s">
        <v>512</v>
      </c>
      <c r="D80" s="645"/>
      <c r="E80" s="646"/>
      <c r="F80" s="671">
        <f>ROUND((IF($F$71&lt;0,0,IF($E$54="Single",VLOOKUP($F$71,$C$10:$J$18,7,TRUE),0))),2)</f>
        <v>0</v>
      </c>
      <c r="G80" s="647"/>
      <c r="H80" s="647"/>
      <c r="I80" s="646"/>
      <c r="J80" s="648"/>
      <c r="AB80" s="13"/>
      <c r="AE80" s="14"/>
      <c r="AH80" s="14"/>
    </row>
    <row r="81" spans="3:34" s="12" customFormat="1" ht="15" x14ac:dyDescent="0.25">
      <c r="C81" s="645" t="s">
        <v>513</v>
      </c>
      <c r="D81" s="645"/>
      <c r="E81" s="646"/>
      <c r="F81" s="671">
        <f>ROUND((IF($F$71&lt;0,0,IF($E$54="Married",VLOOKUP($F$71,$C$23:$J$31,7,TRUE),0))),2)</f>
        <v>0</v>
      </c>
      <c r="G81" s="647"/>
      <c r="H81" s="647"/>
      <c r="I81" s="646"/>
      <c r="J81" s="648"/>
      <c r="AB81" s="13"/>
      <c r="AE81" s="14"/>
      <c r="AH81" s="14"/>
    </row>
    <row r="82" spans="3:34" s="12" customFormat="1" ht="15" x14ac:dyDescent="0.25">
      <c r="C82" s="645" t="s">
        <v>514</v>
      </c>
      <c r="D82" s="645"/>
      <c r="E82" s="646"/>
      <c r="F82" s="671">
        <f>ROUND((IF($F$71&lt;0,0,IF($E$54="Head of Household",VLOOKUP($F$71,$C$36:$J$44,7,TRUE),0))),2)</f>
        <v>0</v>
      </c>
      <c r="G82" s="647"/>
      <c r="H82" s="647"/>
      <c r="I82" s="646"/>
      <c r="J82" s="648"/>
      <c r="AB82" s="13"/>
      <c r="AE82" s="14"/>
      <c r="AH82" s="14"/>
    </row>
    <row r="83" spans="3:34" s="12" customFormat="1" x14ac:dyDescent="0.2">
      <c r="C83" s="664" t="s">
        <v>531</v>
      </c>
      <c r="D83" s="645"/>
      <c r="E83" s="646"/>
      <c r="F83" s="672">
        <f>SUM(F80:F82)</f>
        <v>0</v>
      </c>
      <c r="G83" s="647"/>
      <c r="H83" s="647"/>
      <c r="I83" s="646"/>
      <c r="J83" s="648"/>
      <c r="AB83" s="13"/>
      <c r="AE83" s="14"/>
      <c r="AH83" s="14"/>
    </row>
    <row r="84" spans="3:34" s="12" customFormat="1" x14ac:dyDescent="0.2">
      <c r="C84" s="645" t="s">
        <v>515</v>
      </c>
      <c r="D84" s="645"/>
      <c r="E84" s="646"/>
      <c r="F84" s="670">
        <f>ROUND((F71-F79),2)</f>
        <v>-12900</v>
      </c>
      <c r="G84" s="647"/>
      <c r="H84" s="647"/>
      <c r="I84" s="646"/>
      <c r="J84" s="648"/>
      <c r="AB84" s="13"/>
      <c r="AE84" s="14"/>
      <c r="AH84" s="14"/>
    </row>
    <row r="85" spans="3:34" s="12" customFormat="1" x14ac:dyDescent="0.2">
      <c r="C85" s="645" t="s">
        <v>516</v>
      </c>
      <c r="D85" s="645"/>
      <c r="E85" s="646"/>
      <c r="F85" s="669">
        <f>ROUND((F84*F83),2)</f>
        <v>0</v>
      </c>
      <c r="G85" s="647"/>
      <c r="H85" s="647"/>
      <c r="I85" s="646"/>
      <c r="J85" s="648"/>
      <c r="AB85" s="13"/>
      <c r="AE85" s="14"/>
      <c r="AH85" s="14"/>
    </row>
    <row r="86" spans="3:34" s="12" customFormat="1" ht="15" x14ac:dyDescent="0.25">
      <c r="C86" s="645" t="s">
        <v>517</v>
      </c>
      <c r="D86" s="645"/>
      <c r="E86" s="646"/>
      <c r="F86" s="668">
        <f>ROUND((IF($F$71&lt;0,0,IF($E$54="Single",VLOOKUP($F$71,$C$10:$J$18,5,TRUE),0))),2)</f>
        <v>0</v>
      </c>
      <c r="G86" s="647"/>
      <c r="H86" s="647"/>
      <c r="I86" s="646"/>
      <c r="J86" s="648"/>
      <c r="AB86" s="13"/>
      <c r="AE86" s="14"/>
      <c r="AH86" s="14"/>
    </row>
    <row r="87" spans="3:34" s="12" customFormat="1" ht="15" x14ac:dyDescent="0.25">
      <c r="C87" s="645" t="s">
        <v>518</v>
      </c>
      <c r="D87" s="645"/>
      <c r="E87" s="646"/>
      <c r="F87" s="668">
        <f>ROUND((IF($F$71&lt;0,0,IF($E$54="Married",VLOOKUP($F$71,$C$23:$J$31,5,TRUE),0))),2)</f>
        <v>0</v>
      </c>
      <c r="G87" s="647"/>
      <c r="H87" s="647"/>
      <c r="I87" s="646"/>
      <c r="J87" s="648"/>
      <c r="AB87" s="13"/>
      <c r="AE87" s="14"/>
      <c r="AH87" s="14"/>
    </row>
    <row r="88" spans="3:34" s="12" customFormat="1" ht="15" x14ac:dyDescent="0.25">
      <c r="C88" s="645" t="s">
        <v>519</v>
      </c>
      <c r="D88" s="645"/>
      <c r="E88" s="646"/>
      <c r="F88" s="668">
        <f>ROUND((IF($F$71&lt;0,0,IF($E$54="Head of Household",VLOOKUP($F$71,$C$36:$J$44,5,TRUE),0))),2)</f>
        <v>0</v>
      </c>
      <c r="G88" s="647"/>
      <c r="H88" s="647"/>
      <c r="I88" s="646"/>
      <c r="J88" s="648"/>
      <c r="AB88" s="13"/>
      <c r="AE88" s="14"/>
      <c r="AH88" s="14"/>
    </row>
    <row r="89" spans="3:34" s="12" customFormat="1" x14ac:dyDescent="0.2">
      <c r="C89" s="645" t="s">
        <v>520</v>
      </c>
      <c r="D89" s="645"/>
      <c r="E89" s="646"/>
      <c r="F89" s="669">
        <f>SUM(F85:F88)</f>
        <v>0</v>
      </c>
      <c r="G89" s="647"/>
      <c r="H89" s="647"/>
      <c r="I89" s="646"/>
      <c r="J89" s="648"/>
      <c r="AB89" s="13"/>
      <c r="AE89" s="14"/>
      <c r="AH89" s="14"/>
    </row>
    <row r="90" spans="3:34" s="12" customFormat="1" x14ac:dyDescent="0.2">
      <c r="C90" s="645" t="s">
        <v>521</v>
      </c>
      <c r="D90" s="645"/>
      <c r="E90" s="646"/>
      <c r="F90" s="669">
        <f>ROUND((F89/E63),2)</f>
        <v>0</v>
      </c>
      <c r="G90" s="647"/>
      <c r="H90" s="647"/>
      <c r="I90" s="646"/>
      <c r="J90" s="648"/>
      <c r="AB90" s="13"/>
      <c r="AE90" s="14"/>
      <c r="AH90" s="14"/>
    </row>
    <row r="91" spans="3:34" s="12" customFormat="1" x14ac:dyDescent="0.2">
      <c r="C91" s="645" t="s">
        <v>522</v>
      </c>
      <c r="D91" s="645"/>
      <c r="E91" s="646"/>
      <c r="F91" s="673">
        <f>E59</f>
        <v>0</v>
      </c>
      <c r="G91" s="647"/>
      <c r="H91" s="647"/>
      <c r="I91" s="646"/>
      <c r="J91" s="648"/>
      <c r="AB91" s="13"/>
      <c r="AE91" s="14"/>
      <c r="AH91" s="14"/>
    </row>
    <row r="92" spans="3:34" s="12" customFormat="1" x14ac:dyDescent="0.2">
      <c r="C92" s="645" t="s">
        <v>523</v>
      </c>
      <c r="D92" s="645"/>
      <c r="E92" s="646"/>
      <c r="F92" s="669">
        <f>ROUND((IF($F$91=" ",0,($F$91/$E$63))),2)</f>
        <v>0</v>
      </c>
      <c r="G92" s="647"/>
      <c r="H92" s="647"/>
      <c r="I92" s="646"/>
      <c r="J92" s="648"/>
      <c r="AB92" s="13"/>
      <c r="AE92" s="14"/>
      <c r="AH92" s="14"/>
    </row>
    <row r="93" spans="3:34" s="12" customFormat="1" x14ac:dyDescent="0.2">
      <c r="C93" s="645" t="s">
        <v>524</v>
      </c>
      <c r="D93" s="645"/>
      <c r="E93" s="646"/>
      <c r="F93" s="669">
        <f>ROUND((IF($F$90-$F$92&lt;0,0,$F$90-$F$92)),2)</f>
        <v>0</v>
      </c>
      <c r="G93" s="647"/>
      <c r="H93" s="647"/>
      <c r="I93" s="646"/>
      <c r="J93" s="648"/>
      <c r="AB93" s="13"/>
      <c r="AE93" s="14"/>
      <c r="AH93" s="14"/>
    </row>
    <row r="94" spans="3:34" s="12" customFormat="1" x14ac:dyDescent="0.2">
      <c r="C94" s="645" t="s">
        <v>525</v>
      </c>
      <c r="D94" s="645"/>
      <c r="E94" s="646"/>
      <c r="F94" s="673">
        <f>E62</f>
        <v>0</v>
      </c>
      <c r="G94" s="647"/>
      <c r="H94" s="647"/>
      <c r="I94" s="646"/>
      <c r="J94" s="648"/>
      <c r="AB94" s="13"/>
      <c r="AE94" s="14"/>
      <c r="AH94" s="14"/>
    </row>
    <row r="95" spans="3:34" s="12" customFormat="1" x14ac:dyDescent="0.2">
      <c r="C95" s="674" t="s">
        <v>526</v>
      </c>
      <c r="D95" s="674"/>
      <c r="E95" s="646"/>
      <c r="F95" s="669">
        <f>ROUND((SUM(F93:F94)),2)</f>
        <v>0</v>
      </c>
      <c r="G95" s="647"/>
      <c r="H95" s="647"/>
      <c r="I95" s="646"/>
      <c r="J95" s="648"/>
      <c r="AB95" s="13"/>
      <c r="AE95" s="14"/>
      <c r="AH95" s="14"/>
    </row>
    <row r="96" spans="3:34" s="12" customFormat="1" x14ac:dyDescent="0.2">
      <c r="C96" s="664" t="s">
        <v>527</v>
      </c>
      <c r="D96" s="664"/>
      <c r="E96" s="665"/>
      <c r="F96" s="675"/>
      <c r="G96" s="647"/>
      <c r="H96" s="647"/>
      <c r="I96" s="646"/>
      <c r="J96" s="648"/>
      <c r="AB96" s="13"/>
      <c r="AE96" s="14"/>
      <c r="AH96" s="14"/>
    </row>
    <row r="97" spans="3:34" s="12" customFormat="1" x14ac:dyDescent="0.2">
      <c r="C97" s="645" t="s">
        <v>536</v>
      </c>
      <c r="D97" s="645"/>
      <c r="E97" s="646"/>
      <c r="F97" s="670">
        <f>F71</f>
        <v>-12900</v>
      </c>
      <c r="G97" s="647"/>
      <c r="H97" s="647"/>
      <c r="I97" s="646"/>
      <c r="J97" s="648"/>
      <c r="AB97" s="13"/>
      <c r="AE97" s="14"/>
      <c r="AH97" s="14"/>
    </row>
    <row r="98" spans="3:34" s="12" customFormat="1" ht="15" x14ac:dyDescent="0.25">
      <c r="C98" s="645" t="s">
        <v>508</v>
      </c>
      <c r="D98" s="645"/>
      <c r="E98" s="646"/>
      <c r="F98" s="668">
        <f>ROUND((IF($F$97&lt;0,0,IF($E$54="Single",VLOOKUP($F$97,$O$10:$V$18,8,TRUE),0))),2)</f>
        <v>0</v>
      </c>
      <c r="G98" s="647"/>
      <c r="H98" s="647"/>
      <c r="I98" s="646"/>
      <c r="J98" s="648"/>
      <c r="AB98" s="13"/>
      <c r="AE98" s="14"/>
      <c r="AH98" s="14"/>
    </row>
    <row r="99" spans="3:34" s="12" customFormat="1" ht="15" x14ac:dyDescent="0.25">
      <c r="C99" s="645" t="s">
        <v>509</v>
      </c>
      <c r="D99" s="645"/>
      <c r="E99" s="646"/>
      <c r="F99" s="668">
        <f>ROUND((IF($F$97&lt;0,0,IF($E$54="Married",VLOOKUP($F$97,$O$23:$V$31,8,TRUE),0))),2)</f>
        <v>0</v>
      </c>
      <c r="G99" s="647"/>
      <c r="H99" s="647"/>
      <c r="I99" s="646"/>
      <c r="J99" s="648"/>
      <c r="AB99" s="13"/>
      <c r="AE99" s="14"/>
      <c r="AH99" s="14"/>
    </row>
    <row r="100" spans="3:34" s="12" customFormat="1" ht="15" x14ac:dyDescent="0.25">
      <c r="C100" s="645" t="s">
        <v>510</v>
      </c>
      <c r="D100" s="645"/>
      <c r="E100" s="646"/>
      <c r="F100" s="668">
        <f>ROUND((IF($F$97&lt;0,0,IF($E$54="Head of Household",VLOOKUP($F$97,$O$36:$V$44,8,TRUE),0))),2)</f>
        <v>0</v>
      </c>
      <c r="G100" s="647"/>
      <c r="H100" s="647"/>
      <c r="I100" s="646"/>
      <c r="J100" s="648"/>
      <c r="AB100" s="13"/>
      <c r="AE100" s="14"/>
      <c r="AH100" s="14"/>
    </row>
    <row r="101" spans="3:34" s="12" customFormat="1" x14ac:dyDescent="0.2">
      <c r="C101" s="664" t="s">
        <v>511</v>
      </c>
      <c r="D101" s="645"/>
      <c r="E101" s="646"/>
      <c r="F101" s="677">
        <f>SUM(F98:F100)</f>
        <v>0</v>
      </c>
      <c r="G101" s="647"/>
      <c r="H101" s="647"/>
      <c r="I101" s="646"/>
      <c r="J101" s="648"/>
      <c r="AB101" s="13"/>
      <c r="AE101" s="14"/>
      <c r="AH101" s="14"/>
    </row>
    <row r="102" spans="3:34" s="12" customFormat="1" ht="15" x14ac:dyDescent="0.25">
      <c r="C102" s="645" t="s">
        <v>528</v>
      </c>
      <c r="D102" s="645"/>
      <c r="E102" s="646"/>
      <c r="F102" s="671">
        <f>ROUND((IF($F$97&lt;0,0,IF($E$54="Single",VLOOKUP($F$97,$O$10:$V$18,7,TRUE),0))),2)</f>
        <v>0</v>
      </c>
      <c r="G102" s="647"/>
      <c r="H102" s="647"/>
      <c r="I102" s="646"/>
      <c r="J102" s="648"/>
      <c r="AB102" s="13"/>
      <c r="AE102" s="14"/>
      <c r="AH102" s="14"/>
    </row>
    <row r="103" spans="3:34" s="12" customFormat="1" ht="15" x14ac:dyDescent="0.25">
      <c r="C103" s="645" t="s">
        <v>529</v>
      </c>
      <c r="D103" s="645"/>
      <c r="E103" s="646"/>
      <c r="F103">
        <f>ROUND((IF($F$97&lt;0,0,IF($E$54="Married",VLOOKUP($F$97,$O$23:$V$31,7,TRUE),0))),2)</f>
        <v>0</v>
      </c>
      <c r="G103" s="647"/>
      <c r="H103" s="647"/>
      <c r="I103" s="646"/>
      <c r="J103" s="648"/>
      <c r="AB103" s="13"/>
      <c r="AE103" s="14"/>
      <c r="AH103" s="14"/>
    </row>
    <row r="104" spans="3:34" s="12" customFormat="1" ht="15" x14ac:dyDescent="0.25">
      <c r="C104" s="645" t="s">
        <v>530</v>
      </c>
      <c r="D104" s="645"/>
      <c r="E104" s="646"/>
      <c r="F104" s="671">
        <f>ROUND((IF($F$97&lt;0,0,IF($E$54="Head of Household",VLOOKUP($F$97,$O$36:$V$44,7,TRUE),0))),2)</f>
        <v>0</v>
      </c>
      <c r="G104" s="647"/>
      <c r="H104" s="647"/>
      <c r="I104" s="646"/>
      <c r="J104" s="648"/>
      <c r="AB104" s="13"/>
      <c r="AE104" s="14"/>
      <c r="AH104" s="14"/>
    </row>
    <row r="105" spans="3:34" s="12" customFormat="1" x14ac:dyDescent="0.2">
      <c r="C105" s="664" t="s">
        <v>531</v>
      </c>
      <c r="D105" s="645"/>
      <c r="E105" s="646"/>
      <c r="F105" s="672">
        <f>SUM(F102:F104)</f>
        <v>0</v>
      </c>
      <c r="G105" s="647"/>
      <c r="H105" s="647"/>
      <c r="I105" s="646"/>
      <c r="J105" s="648"/>
      <c r="AB105" s="13"/>
      <c r="AE105" s="14"/>
      <c r="AH105" s="14"/>
    </row>
    <row r="106" spans="3:34" s="12" customFormat="1" x14ac:dyDescent="0.2">
      <c r="C106" s="645" t="s">
        <v>515</v>
      </c>
      <c r="D106" s="645"/>
      <c r="E106" s="646"/>
      <c r="F106" s="670">
        <f>ROUND((F97-F101),2)</f>
        <v>-12900</v>
      </c>
      <c r="G106" s="647"/>
      <c r="H106" s="647"/>
      <c r="I106" s="646"/>
      <c r="J106" s="648"/>
      <c r="AB106" s="13"/>
      <c r="AE106" s="14"/>
      <c r="AH106" s="14"/>
    </row>
    <row r="107" spans="3:34" s="12" customFormat="1" x14ac:dyDescent="0.2">
      <c r="C107" s="645" t="s">
        <v>516</v>
      </c>
      <c r="D107" s="645"/>
      <c r="E107" s="646"/>
      <c r="F107" s="669">
        <f>ROUND((F106*F105),2)</f>
        <v>0</v>
      </c>
      <c r="G107" s="647"/>
      <c r="H107" s="647"/>
      <c r="I107" s="646"/>
      <c r="J107" s="648"/>
      <c r="AB107" s="13"/>
      <c r="AE107" s="14"/>
      <c r="AH107" s="14"/>
    </row>
    <row r="108" spans="3:34" s="12" customFormat="1" ht="15" x14ac:dyDescent="0.25">
      <c r="C108" s="645" t="s">
        <v>517</v>
      </c>
      <c r="D108" s="645"/>
      <c r="E108" s="646"/>
      <c r="F108" s="668">
        <f>ROUND((IF($F$97&lt;0,0,IF($E$54="Single",VLOOKUP($F$97,O$10:$V18,5,TRUE),0))),2)</f>
        <v>0</v>
      </c>
      <c r="G108" s="647"/>
      <c r="H108" s="647"/>
      <c r="I108" s="646"/>
      <c r="J108" s="648"/>
      <c r="AB108" s="13"/>
      <c r="AE108" s="14"/>
      <c r="AH108" s="14"/>
    </row>
    <row r="109" spans="3:34" s="12" customFormat="1" ht="15" x14ac:dyDescent="0.25">
      <c r="C109" s="645" t="s">
        <v>518</v>
      </c>
      <c r="D109" s="645"/>
      <c r="E109" s="646"/>
      <c r="F109" s="668">
        <f>ROUND((IF($F$97&lt;0,0,IF($E$54="Married",VLOOKUP($F$97,O$23:$V31,5,TRUE),0))),2)</f>
        <v>0</v>
      </c>
      <c r="G109" s="647"/>
      <c r="H109" s="647"/>
      <c r="I109" s="646"/>
      <c r="J109" s="648"/>
      <c r="AB109" s="13"/>
      <c r="AE109" s="14"/>
      <c r="AH109" s="14"/>
    </row>
    <row r="110" spans="3:34" s="12" customFormat="1" ht="15" x14ac:dyDescent="0.25">
      <c r="C110" s="645" t="s">
        <v>519</v>
      </c>
      <c r="D110" s="645"/>
      <c r="E110" s="646"/>
      <c r="F110" s="668">
        <f>ROUND((IF($F$97&lt;0,0,IF($E$54="Head of Household",VLOOKUP($F$97,O$36:$V44,5,TRUE),0))),2)</f>
        <v>0</v>
      </c>
      <c r="G110" s="647"/>
      <c r="H110" s="647"/>
      <c r="I110" s="646"/>
      <c r="J110" s="648"/>
      <c r="AB110" s="13"/>
      <c r="AE110" s="14"/>
      <c r="AH110" s="14"/>
    </row>
    <row r="111" spans="3:34" s="12" customFormat="1" x14ac:dyDescent="0.2">
      <c r="C111" s="645" t="s">
        <v>520</v>
      </c>
      <c r="D111" s="645"/>
      <c r="E111" s="646"/>
      <c r="F111" s="669">
        <f>SUM(F107:F110)</f>
        <v>0</v>
      </c>
      <c r="G111" s="647"/>
      <c r="H111" s="647"/>
      <c r="I111" s="646"/>
      <c r="J111" s="648"/>
      <c r="AB111" s="13"/>
      <c r="AE111" s="14"/>
      <c r="AH111" s="14"/>
    </row>
    <row r="112" spans="3:34" s="12" customFormat="1" x14ac:dyDescent="0.2">
      <c r="C112" s="645" t="s">
        <v>521</v>
      </c>
      <c r="D112" s="645"/>
      <c r="E112" s="646"/>
      <c r="F112" s="669">
        <f>ROUND((F111/E63),2)</f>
        <v>0</v>
      </c>
      <c r="G112" s="647"/>
      <c r="H112" s="647"/>
      <c r="I112" s="646"/>
      <c r="J112" s="648"/>
      <c r="AB112" s="13"/>
      <c r="AE112" s="14"/>
      <c r="AH112" s="14"/>
    </row>
    <row r="113" spans="3:34" s="12" customFormat="1" x14ac:dyDescent="0.2">
      <c r="C113" s="645" t="s">
        <v>532</v>
      </c>
      <c r="D113" s="645"/>
      <c r="E113" s="646"/>
      <c r="F113" s="673">
        <f>E59</f>
        <v>0</v>
      </c>
      <c r="G113" s="647"/>
      <c r="H113" s="647"/>
      <c r="I113" s="646"/>
      <c r="J113" s="648"/>
      <c r="AB113" s="13"/>
      <c r="AE113" s="14"/>
      <c r="AH113" s="14"/>
    </row>
    <row r="114" spans="3:34" s="12" customFormat="1" ht="15" x14ac:dyDescent="0.25">
      <c r="C114" s="645" t="s">
        <v>523</v>
      </c>
      <c r="D114" s="645"/>
      <c r="E114" s="646"/>
      <c r="F114" s="668">
        <f>ROUND((IF($F$113=" ",0,($F$113/$E$63))),2)</f>
        <v>0</v>
      </c>
      <c r="G114" s="647"/>
      <c r="H114" s="647"/>
      <c r="I114" s="646"/>
      <c r="J114" s="648"/>
      <c r="AB114" s="13"/>
      <c r="AE114" s="14"/>
      <c r="AH114" s="14"/>
    </row>
    <row r="115" spans="3:34" s="12" customFormat="1" ht="15" x14ac:dyDescent="0.25">
      <c r="C115" s="645" t="s">
        <v>533</v>
      </c>
      <c r="D115" s="645"/>
      <c r="E115" s="646"/>
      <c r="F115" s="668">
        <f>ROUND((IF($F$112-$F$114&lt;0,0,$F$112-$F$11)),2)</f>
        <v>0</v>
      </c>
      <c r="G115" s="647"/>
      <c r="H115" s="647"/>
      <c r="I115" s="646"/>
      <c r="J115" s="648"/>
      <c r="AB115" s="13"/>
      <c r="AE115" s="14"/>
      <c r="AH115" s="14"/>
    </row>
    <row r="116" spans="3:34" s="12" customFormat="1" x14ac:dyDescent="0.2">
      <c r="C116" s="645" t="s">
        <v>525</v>
      </c>
      <c r="D116" s="645"/>
      <c r="E116" s="646"/>
      <c r="F116" s="673">
        <f>E62</f>
        <v>0</v>
      </c>
      <c r="G116" s="647"/>
      <c r="H116" s="647"/>
      <c r="I116" s="646"/>
      <c r="J116" s="648"/>
      <c r="AB116" s="13"/>
      <c r="AE116" s="14"/>
      <c r="AH116" s="14"/>
    </row>
    <row r="117" spans="3:34" s="12" customFormat="1" x14ac:dyDescent="0.2">
      <c r="C117" s="674" t="s">
        <v>534</v>
      </c>
      <c r="D117" s="674"/>
      <c r="E117" s="646"/>
      <c r="F117" s="669">
        <f>ROUND((SUM(F115:F116)),2)</f>
        <v>0</v>
      </c>
      <c r="G117" s="647"/>
      <c r="H117" s="647"/>
      <c r="I117" s="646"/>
      <c r="J117" s="648"/>
      <c r="AB117" s="13"/>
      <c r="AE117" s="14"/>
      <c r="AH117" s="14"/>
    </row>
    <row r="118" spans="3:34" s="12" customFormat="1" x14ac:dyDescent="0.2">
      <c r="C118" s="664" t="s">
        <v>535</v>
      </c>
      <c r="D118" s="664"/>
      <c r="E118" s="665"/>
      <c r="F118" s="675"/>
      <c r="G118" s="647"/>
      <c r="H118" s="647"/>
      <c r="I118" s="646"/>
      <c r="J118" s="648"/>
      <c r="AB118" s="13"/>
      <c r="AE118" s="14"/>
      <c r="AH118" s="14"/>
    </row>
    <row r="119" spans="3:34" s="12" customFormat="1" x14ac:dyDescent="0.2">
      <c r="C119" s="645" t="s">
        <v>538</v>
      </c>
      <c r="D119" s="645"/>
      <c r="E119" s="646"/>
      <c r="F119" s="670">
        <f>F73</f>
        <v>-4300</v>
      </c>
      <c r="G119" s="647"/>
      <c r="H119" s="647"/>
      <c r="I119" s="646"/>
      <c r="J119" s="648"/>
      <c r="AB119" s="13"/>
      <c r="AE119" s="14"/>
      <c r="AH119" s="14"/>
    </row>
    <row r="120" spans="3:34" s="12" customFormat="1" ht="15" x14ac:dyDescent="0.25">
      <c r="C120" s="645" t="s">
        <v>508</v>
      </c>
      <c r="D120" s="645"/>
      <c r="E120" s="646"/>
      <c r="F120" s="668">
        <f>ROUND((IF($F$119&lt;0,0,IF($E$54="Single",VLOOKUP($F$119,C$10:$J$18,8,TRUE),0))),2)</f>
        <v>0</v>
      </c>
      <c r="G120" s="647"/>
      <c r="H120" s="647"/>
      <c r="I120" s="646"/>
      <c r="J120" s="648"/>
      <c r="AB120" s="13"/>
      <c r="AE120" s="14"/>
      <c r="AH120" s="14"/>
    </row>
    <row r="121" spans="3:34" s="12" customFormat="1" ht="15" x14ac:dyDescent="0.25">
      <c r="C121" s="645" t="s">
        <v>509</v>
      </c>
      <c r="D121" s="645"/>
      <c r="E121" s="646"/>
      <c r="F121" s="668">
        <f>ROUND((IF($F$119&lt;0,0,IF($E$54="Married",VLOOKUP($F$119,C$23:$J$31,8,TRUE),0))),2)</f>
        <v>0</v>
      </c>
      <c r="G121" s="647"/>
      <c r="H121" s="647"/>
      <c r="I121" s="646"/>
      <c r="J121" s="648"/>
      <c r="AB121" s="13"/>
      <c r="AE121" s="14"/>
      <c r="AH121" s="14"/>
    </row>
    <row r="122" spans="3:34" s="12" customFormat="1" x14ac:dyDescent="0.2">
      <c r="C122" s="664" t="s">
        <v>511</v>
      </c>
      <c r="D122" s="645"/>
      <c r="E122" s="646"/>
      <c r="F122" s="677">
        <f>ROUND((SUM(F120:F121)),2)</f>
        <v>0</v>
      </c>
      <c r="G122" s="647"/>
      <c r="H122" s="647"/>
      <c r="I122" s="646"/>
      <c r="J122" s="648"/>
      <c r="AB122" s="13"/>
      <c r="AE122" s="14"/>
      <c r="AH122" s="14"/>
    </row>
    <row r="123" spans="3:34" s="12" customFormat="1" ht="15" x14ac:dyDescent="0.25">
      <c r="C123" s="645" t="s">
        <v>528</v>
      </c>
      <c r="D123" s="645"/>
      <c r="E123" s="646"/>
      <c r="F123" s="671">
        <f>ROUND((IF($F$119&lt;0,0,IF($E$54="Single",VLOOKUP($F$119,$C$10:$J$18,7,TRUE),0))),2)</f>
        <v>0</v>
      </c>
      <c r="G123" s="647"/>
      <c r="H123" s="647"/>
      <c r="I123" s="646"/>
      <c r="J123" s="648"/>
      <c r="AB123" s="13"/>
      <c r="AE123" s="14"/>
      <c r="AH123" s="14"/>
    </row>
    <row r="124" spans="3:34" s="12" customFormat="1" ht="15" x14ac:dyDescent="0.25">
      <c r="C124" s="645" t="s">
        <v>529</v>
      </c>
      <c r="D124" s="645"/>
      <c r="E124" s="646"/>
      <c r="F124" s="671">
        <f>ROUND((IF($F$119&lt;0,0,IF($E$54="Married",VLOOKUP($F$119,$C$23:$J$31,7,TRUE),0))),2)</f>
        <v>0</v>
      </c>
      <c r="G124" s="647"/>
      <c r="H124" s="647"/>
      <c r="I124" s="646"/>
      <c r="J124" s="648"/>
      <c r="AB124" s="13"/>
      <c r="AE124" s="14"/>
      <c r="AH124" s="14"/>
    </row>
    <row r="125" spans="3:34" s="12" customFormat="1" x14ac:dyDescent="0.2">
      <c r="C125" s="664" t="s">
        <v>531</v>
      </c>
      <c r="D125" s="645"/>
      <c r="E125" s="646"/>
      <c r="F125" s="672">
        <f>ROUND((SUM(F123:F124)),2)</f>
        <v>0</v>
      </c>
      <c r="G125" s="647"/>
      <c r="H125" s="647"/>
      <c r="I125" s="646"/>
      <c r="J125" s="648"/>
      <c r="AB125" s="13"/>
      <c r="AE125" s="14"/>
      <c r="AH125" s="14"/>
    </row>
    <row r="126" spans="3:34" s="12" customFormat="1" x14ac:dyDescent="0.2">
      <c r="C126" s="645" t="s">
        <v>515</v>
      </c>
      <c r="D126" s="645"/>
      <c r="E126" s="646"/>
      <c r="F126" s="670">
        <f>ROUND((F119-F122),2)</f>
        <v>-4300</v>
      </c>
      <c r="G126" s="647"/>
      <c r="H126" s="647"/>
      <c r="I126" s="646"/>
      <c r="J126" s="648"/>
      <c r="AB126" s="13"/>
      <c r="AE126" s="14"/>
      <c r="AH126" s="14"/>
    </row>
    <row r="127" spans="3:34" s="12" customFormat="1" x14ac:dyDescent="0.2">
      <c r="C127" s="645" t="s">
        <v>516</v>
      </c>
      <c r="D127" s="645"/>
      <c r="E127" s="646"/>
      <c r="F127" s="669">
        <f>+ROUND((F126*F125),2)</f>
        <v>0</v>
      </c>
      <c r="G127" s="647"/>
      <c r="H127" s="647"/>
      <c r="I127" s="646"/>
      <c r="J127" s="648"/>
      <c r="AB127" s="13"/>
      <c r="AE127" s="14"/>
      <c r="AH127" s="14"/>
    </row>
    <row r="128" spans="3:34" s="12" customFormat="1" ht="15" x14ac:dyDescent="0.25">
      <c r="C128" s="645" t="s">
        <v>517</v>
      </c>
      <c r="D128" s="645"/>
      <c r="E128" s="646"/>
      <c r="F128" s="668">
        <f>ROUND((IF($F$119&lt;0,0,IF($E$54="Single",VLOOKUP($F$119,$C$10:$J18,5,TRUE),0))),2)</f>
        <v>0</v>
      </c>
      <c r="G128" s="647"/>
      <c r="H128" s="647"/>
      <c r="I128" s="646"/>
      <c r="J128" s="648"/>
      <c r="AB128" s="13"/>
      <c r="AE128" s="14"/>
      <c r="AH128" s="14"/>
    </row>
    <row r="129" spans="2:34" s="12" customFormat="1" ht="15" x14ac:dyDescent="0.25">
      <c r="C129" s="645" t="s">
        <v>518</v>
      </c>
      <c r="D129" s="645"/>
      <c r="E129" s="646"/>
      <c r="F129" s="668">
        <f>ROUND((IF($F$119&lt;0,0,IF($E$54="Married",VLOOKUP($F$119,$C$23:$J31,5,TRUE),0))),2)</f>
        <v>0</v>
      </c>
      <c r="G129" s="647"/>
      <c r="H129" s="647"/>
      <c r="I129" s="646"/>
      <c r="J129" s="648"/>
      <c r="AB129" s="13"/>
      <c r="AE129" s="14"/>
      <c r="AH129" s="14"/>
    </row>
    <row r="130" spans="2:34" s="12" customFormat="1" x14ac:dyDescent="0.2">
      <c r="C130" s="645" t="s">
        <v>520</v>
      </c>
      <c r="D130" s="645"/>
      <c r="E130" s="646"/>
      <c r="F130" s="669">
        <f>ROUND((SUM(F127:F129)),2)</f>
        <v>0</v>
      </c>
      <c r="G130" s="647"/>
      <c r="H130" s="647"/>
      <c r="I130" s="646"/>
      <c r="J130" s="648"/>
      <c r="AB130" s="13"/>
      <c r="AE130" s="14"/>
      <c r="AH130" s="14"/>
    </row>
    <row r="131" spans="2:34" s="12" customFormat="1" x14ac:dyDescent="0.2">
      <c r="C131" s="645" t="s">
        <v>521</v>
      </c>
      <c r="D131" s="645"/>
      <c r="E131" s="646"/>
      <c r="F131" s="669">
        <f>ROUND((F130/E63),2)</f>
        <v>0</v>
      </c>
      <c r="G131" s="647"/>
      <c r="H131" s="647"/>
      <c r="I131" s="646"/>
      <c r="J131" s="648"/>
      <c r="AB131" s="13"/>
      <c r="AE131" s="14"/>
      <c r="AH131" s="14"/>
    </row>
    <row r="132" spans="2:34" s="12" customFormat="1" x14ac:dyDescent="0.2">
      <c r="C132" s="645" t="s">
        <v>525</v>
      </c>
      <c r="D132" s="645"/>
      <c r="E132" s="646"/>
      <c r="F132" s="673">
        <f>E62</f>
        <v>0</v>
      </c>
      <c r="G132" s="647"/>
      <c r="H132" s="647"/>
      <c r="I132" s="646"/>
      <c r="J132" s="648"/>
      <c r="AB132" s="13"/>
      <c r="AE132" s="14"/>
      <c r="AH132" s="14"/>
    </row>
    <row r="133" spans="2:34" s="12" customFormat="1" x14ac:dyDescent="0.2">
      <c r="C133" s="674" t="s">
        <v>540</v>
      </c>
      <c r="D133" s="674"/>
      <c r="E133" s="646"/>
      <c r="F133" s="669">
        <f>ROUND((SUM(F131:F132)),2)</f>
        <v>0</v>
      </c>
      <c r="G133" s="647"/>
      <c r="H133" s="647"/>
      <c r="I133" s="646"/>
      <c r="J133" s="648"/>
      <c r="AB133" s="13"/>
      <c r="AE133" s="14"/>
      <c r="AH133" s="14"/>
    </row>
    <row r="134" spans="2:34" s="12" customFormat="1" ht="15" x14ac:dyDescent="0.25">
      <c r="C134" s="645" t="s">
        <v>542</v>
      </c>
      <c r="D134" s="645"/>
      <c r="E134" s="646"/>
      <c r="F134" s="668">
        <f>ROUND((IF($E$58="Yes",0,IF($E$56="2020 or After",$F$95,0))),2)</f>
        <v>0</v>
      </c>
      <c r="G134" s="647"/>
      <c r="H134" s="647"/>
      <c r="I134" s="646"/>
      <c r="J134" s="648"/>
      <c r="AB134" s="13"/>
      <c r="AE134" s="14"/>
      <c r="AH134" s="14"/>
    </row>
    <row r="135" spans="2:34" s="12" customFormat="1" ht="15" x14ac:dyDescent="0.25">
      <c r="C135" s="645" t="s">
        <v>541</v>
      </c>
      <c r="D135" s="645"/>
      <c r="E135" s="646"/>
      <c r="F135" s="668">
        <f>ROUND((IF($E$56="Before 2020",0,IF($E$58="Yes",$F$117,0))),2)</f>
        <v>0</v>
      </c>
      <c r="G135" s="647"/>
      <c r="H135" s="647"/>
      <c r="I135" s="646"/>
      <c r="J135" s="648"/>
      <c r="AB135" s="13"/>
      <c r="AE135" s="14"/>
      <c r="AH135" s="14"/>
    </row>
    <row r="136" spans="2:34" s="12" customFormat="1" ht="15" x14ac:dyDescent="0.25">
      <c r="C136" s="645" t="s">
        <v>543</v>
      </c>
      <c r="D136" s="645"/>
      <c r="E136" s="646"/>
      <c r="F136" s="668">
        <f>ROUND((IF($E$56=" ",0,IF($E$56="Before 2020",$F$133,0))),2)</f>
        <v>0</v>
      </c>
      <c r="G136" s="647"/>
      <c r="H136" s="647"/>
      <c r="I136" s="646"/>
      <c r="J136" s="648"/>
      <c r="AB136" s="13"/>
      <c r="AE136" s="14"/>
      <c r="AH136" s="14"/>
    </row>
    <row r="137" spans="2:34" s="12" customFormat="1" x14ac:dyDescent="0.2">
      <c r="C137" s="740" t="s">
        <v>544</v>
      </c>
      <c r="D137" s="740"/>
      <c r="E137" s="740"/>
      <c r="F137" s="678">
        <f>ROUND((IF($E$55="Yes",0,SUM($F$134:$F$136))),2)</f>
        <v>0</v>
      </c>
      <c r="G137" s="647"/>
      <c r="H137" s="647"/>
      <c r="I137" s="646"/>
      <c r="J137" s="648"/>
      <c r="AB137" s="13"/>
      <c r="AE137" s="14"/>
      <c r="AH137" s="14"/>
    </row>
    <row r="138" spans="2:34" s="12" customFormat="1" x14ac:dyDescent="0.2">
      <c r="C138" s="645"/>
      <c r="D138" s="645"/>
      <c r="E138" s="646"/>
      <c r="F138" s="669"/>
      <c r="G138" s="647"/>
      <c r="H138" s="647"/>
      <c r="I138" s="646"/>
      <c r="J138" s="648"/>
      <c r="AB138" s="13"/>
      <c r="AE138" s="14"/>
      <c r="AH138" s="14"/>
    </row>
    <row r="139" spans="2:34" s="12" customFormat="1" x14ac:dyDescent="0.2">
      <c r="C139" s="645"/>
      <c r="D139" s="645"/>
      <c r="E139" s="646"/>
      <c r="F139" s="646"/>
      <c r="G139" s="647"/>
      <c r="H139" s="647"/>
      <c r="I139" s="646"/>
      <c r="J139" s="648"/>
      <c r="AB139" s="13"/>
      <c r="AE139" s="14"/>
      <c r="AH139" s="14"/>
    </row>
    <row r="140" spans="2:34" ht="14.1" customHeight="1" x14ac:dyDescent="0.2">
      <c r="L140" s="12"/>
      <c r="M140" s="12"/>
      <c r="N140" s="12"/>
      <c r="O140" s="12"/>
      <c r="P140" s="12"/>
      <c r="Q140" s="12"/>
      <c r="R140" s="12"/>
      <c r="S140" s="12"/>
      <c r="T140" s="12"/>
      <c r="U140" s="12"/>
      <c r="V140" s="12"/>
      <c r="W140" s="12"/>
      <c r="X140" s="12"/>
      <c r="Y140" s="12"/>
    </row>
    <row r="141" spans="2:34" ht="14.45" customHeight="1" x14ac:dyDescent="0.2">
      <c r="M141" s="12"/>
      <c r="N141" s="12"/>
      <c r="O141" s="12"/>
      <c r="P141" s="12"/>
      <c r="Q141" s="12"/>
      <c r="R141" s="12"/>
      <c r="S141" s="12"/>
      <c r="T141" s="12"/>
      <c r="U141" s="12"/>
      <c r="V141" s="12"/>
      <c r="W141" s="12"/>
      <c r="X141" s="12"/>
      <c r="Y141" s="12"/>
    </row>
    <row r="142" spans="2:34" ht="18" customHeight="1" x14ac:dyDescent="0.25">
      <c r="C142" s="18" t="s">
        <v>60</v>
      </c>
      <c r="D142" s="19"/>
      <c r="E142" s="19"/>
      <c r="F142" s="35"/>
      <c r="G142" s="20"/>
      <c r="H142" s="20"/>
      <c r="I142" s="20"/>
      <c r="J142" s="19"/>
      <c r="K142" s="20" t="s">
        <v>539</v>
      </c>
      <c r="M142" s="12"/>
      <c r="N142" s="12"/>
      <c r="O142" s="12"/>
      <c r="P142" s="12"/>
      <c r="Q142" s="12"/>
      <c r="R142" s="12"/>
      <c r="S142" s="12"/>
      <c r="T142" s="12"/>
      <c r="U142" s="12"/>
      <c r="V142" s="12"/>
      <c r="W142" s="12"/>
      <c r="X142" s="12"/>
      <c r="Y142" s="12"/>
    </row>
    <row r="143" spans="2:34" x14ac:dyDescent="0.2">
      <c r="B143" s="36"/>
      <c r="C143" s="733" t="s">
        <v>61</v>
      </c>
      <c r="D143" s="12"/>
      <c r="E143" s="735" t="s">
        <v>62</v>
      </c>
      <c r="F143" s="12"/>
      <c r="G143" s="12"/>
      <c r="H143" s="12"/>
      <c r="I143" s="12"/>
      <c r="J143" s="12"/>
      <c r="K143" s="12"/>
      <c r="L143" s="12"/>
      <c r="M143" s="12"/>
      <c r="N143" s="12"/>
      <c r="O143" s="12"/>
      <c r="P143" s="12"/>
      <c r="Q143" s="12"/>
      <c r="R143" s="12"/>
      <c r="S143" s="12"/>
      <c r="T143" s="12"/>
      <c r="U143" s="12"/>
      <c r="V143" s="12"/>
      <c r="W143" s="12"/>
      <c r="X143" s="12"/>
      <c r="Y143" s="12"/>
    </row>
    <row r="144" spans="2:34" ht="12.75" thickBot="1" x14ac:dyDescent="0.25">
      <c r="C144" s="734"/>
      <c r="D144" s="37"/>
      <c r="E144" s="736"/>
      <c r="F144" s="38"/>
      <c r="G144" s="38"/>
      <c r="H144" s="38"/>
      <c r="I144" s="38"/>
      <c r="J144" s="38"/>
      <c r="K144" s="38"/>
      <c r="L144" s="12"/>
      <c r="M144" s="12"/>
      <c r="N144" s="12"/>
      <c r="O144" s="12"/>
      <c r="P144" s="12"/>
      <c r="Q144" s="12"/>
      <c r="R144" s="12"/>
      <c r="S144" s="12"/>
      <c r="T144" s="12"/>
      <c r="U144" s="12"/>
      <c r="V144" s="12"/>
      <c r="W144" s="12"/>
      <c r="X144" s="12"/>
      <c r="Y144" s="12"/>
    </row>
    <row r="145" spans="3:37" x14ac:dyDescent="0.2">
      <c r="C145" s="25">
        <v>10</v>
      </c>
      <c r="D145" s="39" t="s">
        <v>63</v>
      </c>
      <c r="E145" s="40">
        <v>3.5000000000000003E-2</v>
      </c>
      <c r="F145" s="12" t="s">
        <v>64</v>
      </c>
      <c r="G145" s="12"/>
      <c r="H145" s="12"/>
      <c r="I145" s="12"/>
      <c r="J145" s="12"/>
      <c r="K145" s="12"/>
      <c r="L145" s="12"/>
      <c r="M145" s="12"/>
      <c r="N145" s="12"/>
      <c r="O145" s="12"/>
      <c r="P145" s="12"/>
      <c r="Q145" s="12"/>
      <c r="R145" s="12"/>
      <c r="S145" s="12"/>
      <c r="T145" s="12"/>
      <c r="U145" s="12"/>
      <c r="V145" s="12"/>
      <c r="W145" s="12"/>
      <c r="X145" s="12"/>
      <c r="Y145" s="12"/>
    </row>
    <row r="146" spans="3:37" x14ac:dyDescent="0.2">
      <c r="C146" s="25">
        <v>11</v>
      </c>
      <c r="D146" s="39" t="s">
        <v>63</v>
      </c>
      <c r="E146" s="40">
        <v>0.03</v>
      </c>
      <c r="F146" s="12" t="s">
        <v>64</v>
      </c>
      <c r="G146" s="12"/>
      <c r="H146" s="12"/>
      <c r="I146" s="12"/>
      <c r="J146" s="12"/>
      <c r="K146" s="12"/>
      <c r="L146" s="12"/>
      <c r="M146" s="12"/>
      <c r="N146" s="12"/>
      <c r="O146" s="12"/>
      <c r="P146" s="12"/>
      <c r="Q146" s="12"/>
      <c r="R146" s="12"/>
      <c r="S146" s="12"/>
      <c r="T146" s="12"/>
      <c r="U146" s="12"/>
      <c r="V146" s="12"/>
      <c r="W146" s="12"/>
      <c r="X146" s="12"/>
      <c r="Y146" s="12"/>
    </row>
    <row r="147" spans="3:37" ht="12" customHeight="1" x14ac:dyDescent="0.2">
      <c r="C147" s="25">
        <v>12</v>
      </c>
      <c r="D147" s="39" t="s">
        <v>63</v>
      </c>
      <c r="E147" s="40">
        <v>2.5000000000000001E-2</v>
      </c>
      <c r="F147" s="12" t="s">
        <v>64</v>
      </c>
      <c r="G147" s="12"/>
      <c r="H147" s="12"/>
      <c r="I147" s="12"/>
      <c r="J147" s="12"/>
      <c r="K147" s="12"/>
      <c r="L147" s="12"/>
      <c r="M147" s="12"/>
      <c r="N147" s="12"/>
      <c r="O147" s="12"/>
      <c r="P147" s="12"/>
      <c r="Q147" s="12"/>
      <c r="R147" s="12"/>
      <c r="S147" s="12"/>
      <c r="T147" s="12"/>
      <c r="U147" s="12"/>
      <c r="V147" s="12"/>
      <c r="W147" s="12"/>
      <c r="X147" s="12"/>
      <c r="Y147" s="12"/>
    </row>
    <row r="148" spans="3:37" ht="12" customHeight="1" x14ac:dyDescent="0.2">
      <c r="C148" s="25">
        <v>13</v>
      </c>
      <c r="D148" s="39" t="s">
        <v>63</v>
      </c>
      <c r="E148" s="40">
        <v>0.02</v>
      </c>
      <c r="F148" s="12" t="s">
        <v>64</v>
      </c>
      <c r="G148" s="12" t="s">
        <v>68</v>
      </c>
      <c r="H148" s="12"/>
      <c r="I148" s="12"/>
      <c r="J148" s="12"/>
      <c r="K148" s="12"/>
      <c r="L148" s="12"/>
      <c r="M148" s="12"/>
      <c r="N148" s="12"/>
      <c r="O148" s="12"/>
      <c r="P148" s="12"/>
      <c r="Q148" s="12"/>
      <c r="R148" s="12"/>
      <c r="S148" s="12"/>
      <c r="T148" s="12"/>
      <c r="U148" s="12"/>
      <c r="V148" s="12"/>
      <c r="W148" s="12"/>
      <c r="X148" s="12"/>
      <c r="Y148" s="12"/>
    </row>
    <row r="149" spans="3:37" x14ac:dyDescent="0.2">
      <c r="C149" s="25">
        <v>14</v>
      </c>
      <c r="D149" s="39" t="s">
        <v>63</v>
      </c>
      <c r="E149" s="40">
        <v>1.4999999999999999E-2</v>
      </c>
      <c r="F149" s="12" t="s">
        <v>64</v>
      </c>
      <c r="G149" s="12"/>
      <c r="H149" s="12"/>
      <c r="I149" s="12"/>
      <c r="J149" s="12"/>
      <c r="K149" s="12"/>
      <c r="L149" s="12"/>
      <c r="M149" s="12"/>
      <c r="N149" s="12"/>
      <c r="O149" s="12"/>
      <c r="P149" s="12"/>
      <c r="Q149" s="12"/>
      <c r="R149" s="12"/>
      <c r="S149" s="12"/>
      <c r="T149" s="12"/>
      <c r="U149" s="12"/>
      <c r="V149" s="12"/>
      <c r="W149" s="12"/>
      <c r="X149" s="12"/>
      <c r="Y149" s="12"/>
    </row>
    <row r="150" spans="3:37" x14ac:dyDescent="0.2">
      <c r="C150" s="25">
        <v>9</v>
      </c>
      <c r="D150" s="39" t="s">
        <v>63</v>
      </c>
      <c r="E150" s="40">
        <v>0.01</v>
      </c>
      <c r="F150" s="12" t="s">
        <v>64</v>
      </c>
      <c r="G150" s="12"/>
      <c r="H150" s="12"/>
      <c r="I150" s="12"/>
      <c r="J150" s="42"/>
      <c r="K150" s="42"/>
      <c r="L150" s="12"/>
      <c r="M150" s="12"/>
      <c r="N150" s="12"/>
      <c r="O150" s="12"/>
      <c r="P150" s="12"/>
      <c r="Q150" s="12"/>
      <c r="R150" s="12"/>
      <c r="S150" s="12"/>
      <c r="T150" s="12"/>
      <c r="U150" s="12"/>
      <c r="V150" s="12"/>
      <c r="W150" s="12"/>
      <c r="X150" s="12"/>
      <c r="Y150" s="12"/>
    </row>
    <row r="151" spans="3:37" ht="12.75" x14ac:dyDescent="0.2">
      <c r="C151" s="25">
        <v>15</v>
      </c>
      <c r="D151" s="39" t="s">
        <v>63</v>
      </c>
      <c r="E151" s="40">
        <v>0.5</v>
      </c>
      <c r="F151" s="12" t="s">
        <v>64</v>
      </c>
      <c r="G151" s="12"/>
      <c r="H151" s="12"/>
      <c r="I151" s="12"/>
      <c r="J151" s="42"/>
      <c r="K151" s="42"/>
      <c r="L151" s="43"/>
      <c r="M151" s="12"/>
      <c r="N151" s="12"/>
      <c r="O151" s="12"/>
      <c r="P151" s="12"/>
      <c r="Q151" s="12"/>
      <c r="R151" s="12"/>
      <c r="S151" s="12"/>
      <c r="T151" s="12"/>
      <c r="U151" s="12"/>
      <c r="V151" s="12"/>
      <c r="W151" s="12"/>
      <c r="X151" s="12"/>
      <c r="Y151" s="12"/>
      <c r="AK151" s="23"/>
    </row>
    <row r="152" spans="3:37" ht="12.75" x14ac:dyDescent="0.2">
      <c r="C152" s="25">
        <v>8</v>
      </c>
      <c r="D152" s="39" t="s">
        <v>63</v>
      </c>
      <c r="E152" s="40">
        <v>0</v>
      </c>
      <c r="F152" s="32" t="s">
        <v>70</v>
      </c>
      <c r="G152" s="12"/>
      <c r="H152" s="12"/>
      <c r="I152" s="12"/>
      <c r="J152" s="12"/>
      <c r="K152" s="42"/>
      <c r="L152" s="43"/>
      <c r="M152" s="12"/>
      <c r="N152" s="12"/>
      <c r="O152" s="12"/>
      <c r="P152" s="12"/>
      <c r="Q152" s="12"/>
      <c r="R152" s="12"/>
      <c r="S152" s="12"/>
      <c r="T152" s="12"/>
      <c r="U152" s="12"/>
      <c r="V152" s="12"/>
      <c r="W152" s="12"/>
      <c r="X152" s="12"/>
      <c r="Y152" s="12"/>
      <c r="AJ152" s="23"/>
      <c r="AK152" s="23"/>
    </row>
    <row r="153" spans="3:37" ht="12.75" x14ac:dyDescent="0.2">
      <c r="C153" s="25"/>
      <c r="D153" s="25"/>
      <c r="E153" s="25"/>
      <c r="F153" s="12"/>
      <c r="G153" s="12"/>
      <c r="H153" s="12"/>
      <c r="I153" s="12"/>
      <c r="J153" s="12"/>
      <c r="K153" s="12"/>
      <c r="L153" s="12"/>
      <c r="M153" s="12"/>
      <c r="N153" s="12"/>
      <c r="O153" s="12"/>
      <c r="P153" s="12"/>
      <c r="Q153" s="12"/>
      <c r="R153" s="12"/>
      <c r="S153" s="12"/>
      <c r="T153" s="12"/>
      <c r="U153" s="12"/>
      <c r="V153" s="12"/>
      <c r="W153" s="12"/>
      <c r="X153" s="12"/>
      <c r="Y153" s="12"/>
      <c r="AJ153" s="23"/>
      <c r="AK153" s="23"/>
    </row>
    <row r="154" spans="3:37" ht="12.75" x14ac:dyDescent="0.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AJ154" s="23"/>
      <c r="AK154" s="23"/>
    </row>
    <row r="155" spans="3:37" ht="12.75" x14ac:dyDescent="0.2">
      <c r="C155" s="43"/>
      <c r="D155" s="43"/>
      <c r="E155" s="43"/>
      <c r="F155" s="43"/>
      <c r="G155" s="48"/>
      <c r="H155" s="48"/>
      <c r="I155" s="12"/>
      <c r="J155" s="12"/>
      <c r="K155" s="12"/>
      <c r="L155" s="12"/>
      <c r="M155" s="12"/>
      <c r="N155" s="12"/>
      <c r="O155" s="12"/>
      <c r="P155" s="12"/>
      <c r="Q155" s="12"/>
      <c r="R155" s="12"/>
      <c r="S155" s="12"/>
      <c r="T155" s="12"/>
      <c r="U155" s="12"/>
      <c r="V155" s="12"/>
      <c r="W155" s="12"/>
      <c r="X155" s="12"/>
      <c r="Y155" s="12"/>
      <c r="AJ155" s="23"/>
      <c r="AK155" s="23"/>
    </row>
    <row r="156" spans="3:37" ht="18" customHeight="1" x14ac:dyDescent="0.25">
      <c r="C156" s="18" t="s">
        <v>75</v>
      </c>
      <c r="D156" s="19"/>
      <c r="E156" s="19"/>
      <c r="F156" s="35"/>
      <c r="G156" s="20"/>
      <c r="H156" s="20"/>
      <c r="I156" s="19"/>
      <c r="J156" s="19"/>
      <c r="K156" s="20"/>
      <c r="L156" s="12"/>
      <c r="M156" s="12"/>
      <c r="N156" s="12"/>
      <c r="O156" s="12"/>
      <c r="P156" s="12"/>
      <c r="Q156" s="12"/>
      <c r="R156" s="12"/>
      <c r="S156" s="12"/>
      <c r="T156" s="12"/>
      <c r="U156" s="12"/>
      <c r="V156" s="12"/>
      <c r="W156" s="12"/>
      <c r="X156" s="12"/>
      <c r="Y156" s="12"/>
      <c r="AJ156" s="23"/>
      <c r="AK156" s="23"/>
    </row>
    <row r="157" spans="3:37" ht="12.75" x14ac:dyDescent="0.2">
      <c r="C157" s="12"/>
      <c r="D157" s="52"/>
      <c r="E157" s="731" t="s">
        <v>77</v>
      </c>
      <c r="F157" s="731"/>
      <c r="G157" s="12"/>
      <c r="H157" s="21" t="s">
        <v>30</v>
      </c>
      <c r="J157" s="21" t="s">
        <v>31</v>
      </c>
      <c r="K157" s="53"/>
      <c r="L157" s="12"/>
      <c r="M157" s="12"/>
      <c r="N157" s="12"/>
      <c r="O157" s="12"/>
      <c r="P157" s="12"/>
      <c r="Q157" s="12"/>
      <c r="R157" s="12"/>
      <c r="S157" s="12"/>
      <c r="T157" s="12"/>
      <c r="U157" s="12"/>
      <c r="V157" s="12"/>
      <c r="W157" s="12"/>
      <c r="X157" s="12"/>
      <c r="Y157" s="12"/>
      <c r="AJ157" s="23"/>
      <c r="AK157" s="23"/>
    </row>
    <row r="158" spans="3:37" ht="18" customHeight="1" x14ac:dyDescent="0.2">
      <c r="C158" s="282" t="s">
        <v>79</v>
      </c>
      <c r="D158" s="2"/>
      <c r="E158" s="326" t="s">
        <v>80</v>
      </c>
      <c r="F158" s="334">
        <v>147000</v>
      </c>
      <c r="G158" s="55"/>
      <c r="H158" s="56">
        <v>6.2E-2</v>
      </c>
      <c r="I158" s="12"/>
      <c r="J158" s="56">
        <v>6.2E-2</v>
      </c>
      <c r="K158" s="57"/>
      <c r="L158" s="12"/>
      <c r="M158" s="12"/>
      <c r="N158" s="12"/>
      <c r="O158" s="12"/>
      <c r="P158" s="12"/>
      <c r="Q158" s="12"/>
      <c r="R158" s="12"/>
      <c r="S158" s="12"/>
      <c r="T158" s="12"/>
      <c r="U158" s="12"/>
      <c r="V158" s="12"/>
      <c r="W158" s="12"/>
      <c r="X158" s="12"/>
      <c r="Y158" s="12"/>
      <c r="AJ158" s="23"/>
      <c r="AK158" s="23"/>
    </row>
    <row r="159" spans="3:37" x14ac:dyDescent="0.2">
      <c r="C159" s="22"/>
      <c r="D159" s="12"/>
      <c r="E159" s="14"/>
      <c r="F159" s="58"/>
      <c r="G159" s="55"/>
      <c r="H159" s="12"/>
      <c r="I159" s="12"/>
      <c r="J159" s="59"/>
      <c r="K159" s="57"/>
      <c r="L159" s="12"/>
      <c r="M159" s="12"/>
      <c r="N159" s="12"/>
      <c r="O159" s="12"/>
      <c r="P159" s="12"/>
      <c r="Q159" s="12"/>
      <c r="R159" s="12"/>
      <c r="S159" s="12"/>
      <c r="T159" s="12"/>
      <c r="U159" s="12"/>
      <c r="V159" s="12"/>
      <c r="W159" s="12"/>
      <c r="X159" s="12"/>
      <c r="Y159" s="12"/>
    </row>
    <row r="160" spans="3:37" ht="12.75" x14ac:dyDescent="0.2">
      <c r="C160" s="22" t="s">
        <v>84</v>
      </c>
      <c r="D160" s="12"/>
      <c r="E160" s="14" t="s">
        <v>80</v>
      </c>
      <c r="F160" s="54">
        <v>200000</v>
      </c>
      <c r="G160" s="12"/>
      <c r="H160" s="56">
        <v>1.4500000000000001E-2</v>
      </c>
      <c r="I160" s="12"/>
      <c r="J160" s="56">
        <v>1.4500000000000001E-2</v>
      </c>
      <c r="K160" s="26"/>
      <c r="L160" s="12"/>
      <c r="M160" s="12"/>
      <c r="N160" s="12"/>
      <c r="O160" s="12"/>
      <c r="P160" s="12"/>
      <c r="Q160" s="12"/>
      <c r="R160" s="12"/>
      <c r="S160" s="12"/>
      <c r="T160" s="12"/>
      <c r="U160" s="12"/>
      <c r="V160" s="12"/>
      <c r="W160" s="12"/>
      <c r="X160" s="12"/>
      <c r="Y160" s="12"/>
    </row>
    <row r="161" spans="1:37" ht="12.75" x14ac:dyDescent="0.2">
      <c r="C161" s="22"/>
      <c r="D161" s="12"/>
      <c r="E161" s="14" t="s">
        <v>86</v>
      </c>
      <c r="F161" s="60">
        <v>200000</v>
      </c>
      <c r="G161" s="12"/>
      <c r="H161" s="56">
        <v>2.35E-2</v>
      </c>
      <c r="I161" s="12"/>
      <c r="J161" s="56">
        <v>1.4500000000000001E-2</v>
      </c>
      <c r="K161" s="26"/>
      <c r="L161" s="12"/>
      <c r="M161" s="12"/>
      <c r="N161" s="12"/>
      <c r="O161" s="12"/>
      <c r="P161" s="12"/>
      <c r="Q161" s="12"/>
      <c r="R161" s="12"/>
      <c r="S161" s="12"/>
      <c r="T161" s="12"/>
      <c r="U161" s="12"/>
      <c r="V161" s="12"/>
      <c r="W161" s="12"/>
      <c r="X161" s="12"/>
      <c r="Y161" s="12"/>
    </row>
    <row r="162" spans="1:37" x14ac:dyDescent="0.2">
      <c r="C162" s="61" t="s">
        <v>88</v>
      </c>
      <c r="D162" s="12"/>
      <c r="E162" s="12"/>
      <c r="F162" s="12"/>
      <c r="G162" s="12"/>
      <c r="H162" s="12"/>
      <c r="I162" s="12"/>
      <c r="J162" s="12"/>
      <c r="K162" s="12"/>
      <c r="L162" s="12"/>
      <c r="M162" s="12"/>
      <c r="N162" s="12"/>
      <c r="O162" s="12"/>
      <c r="P162" s="12"/>
      <c r="Q162" s="12"/>
      <c r="R162" s="12"/>
      <c r="S162" s="12"/>
      <c r="T162" s="12"/>
      <c r="U162" s="12"/>
      <c r="V162" s="12"/>
      <c r="W162" s="12"/>
      <c r="X162" s="12"/>
      <c r="Y162" s="12"/>
    </row>
    <row r="163" spans="1:37" x14ac:dyDescent="0.2">
      <c r="C163" s="32" t="s">
        <v>90</v>
      </c>
      <c r="D163" s="12"/>
      <c r="E163" s="14"/>
      <c r="F163" s="12"/>
      <c r="G163" s="12"/>
      <c r="H163" s="12"/>
      <c r="I163" s="12"/>
      <c r="J163" s="51"/>
      <c r="K163" s="12"/>
      <c r="L163" s="12"/>
      <c r="M163" s="12"/>
      <c r="N163" s="12"/>
      <c r="O163" s="12"/>
      <c r="P163" s="12"/>
      <c r="Q163" s="12"/>
      <c r="R163" s="12"/>
      <c r="S163" s="12"/>
      <c r="T163" s="12"/>
      <c r="U163" s="12"/>
      <c r="V163" s="12"/>
      <c r="W163" s="12"/>
      <c r="X163" s="12"/>
      <c r="Y163" s="12"/>
    </row>
    <row r="164" spans="1:37" x14ac:dyDescent="0.2">
      <c r="C164" s="12"/>
      <c r="D164" s="12"/>
      <c r="E164" s="12"/>
      <c r="F164" s="12"/>
      <c r="G164" s="12"/>
      <c r="H164" s="12"/>
      <c r="I164" s="12"/>
      <c r="J164" s="12"/>
      <c r="K164" s="12"/>
      <c r="L164" s="12"/>
      <c r="M164" s="12"/>
      <c r="N164" s="12"/>
      <c r="O164" s="12"/>
      <c r="P164" s="12"/>
      <c r="Q164" s="12"/>
      <c r="R164" s="12"/>
      <c r="S164" s="12"/>
      <c r="T164" s="12"/>
      <c r="U164" s="12"/>
      <c r="V164" s="12"/>
      <c r="W164" s="12"/>
      <c r="X164" s="12"/>
      <c r="Y164" s="12"/>
    </row>
    <row r="165" spans="1:37" s="62" customFormat="1" x14ac:dyDescent="0.2">
      <c r="A165" s="15"/>
      <c r="B165" s="15"/>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5"/>
      <c r="AA165" s="15"/>
      <c r="AB165" s="16"/>
      <c r="AC165" s="15"/>
      <c r="AD165" s="15"/>
      <c r="AE165" s="17"/>
      <c r="AF165" s="15"/>
      <c r="AG165" s="15"/>
      <c r="AH165" s="17"/>
      <c r="AI165" s="15"/>
      <c r="AJ165" s="15"/>
      <c r="AK165" s="15"/>
    </row>
    <row r="166" spans="1:37" x14ac:dyDescent="0.2">
      <c r="C166" s="12"/>
      <c r="D166" s="12"/>
      <c r="E166" s="12"/>
      <c r="F166" s="12"/>
      <c r="G166" s="12"/>
      <c r="H166" s="12"/>
      <c r="I166" s="12"/>
      <c r="J166" s="12"/>
      <c r="K166" s="12"/>
      <c r="L166" s="12"/>
    </row>
    <row r="167" spans="1:37" s="36" customFormat="1" ht="18" x14ac:dyDescent="0.25">
      <c r="A167" s="15"/>
      <c r="B167" s="15"/>
      <c r="C167" s="327" t="s">
        <v>95</v>
      </c>
      <c r="D167" s="12"/>
      <c r="E167" s="12"/>
      <c r="F167" s="12"/>
      <c r="G167" s="12"/>
      <c r="H167" s="12"/>
      <c r="I167" s="12"/>
      <c r="J167" s="12"/>
      <c r="K167" s="12"/>
      <c r="L167" s="12"/>
      <c r="M167" s="21"/>
      <c r="N167" s="21"/>
      <c r="O167" s="21"/>
      <c r="P167" s="21"/>
      <c r="Q167" s="21"/>
      <c r="R167" s="21"/>
      <c r="S167" s="21"/>
      <c r="T167" s="21"/>
      <c r="U167" s="21"/>
      <c r="V167" s="21"/>
      <c r="W167" s="21"/>
      <c r="X167" s="21"/>
      <c r="Y167" s="21"/>
      <c r="Z167" s="15"/>
      <c r="AA167" s="15"/>
      <c r="AB167" s="16"/>
      <c r="AC167" s="15"/>
      <c r="AD167" s="15"/>
      <c r="AE167" s="17"/>
      <c r="AF167" s="15"/>
      <c r="AG167" s="15"/>
      <c r="AH167" s="17"/>
      <c r="AI167" s="15"/>
      <c r="AJ167" s="15"/>
      <c r="AK167" s="15"/>
    </row>
    <row r="168" spans="1:37" s="36" customFormat="1" x14ac:dyDescent="0.2">
      <c r="A168" s="15"/>
      <c r="B168" s="15"/>
      <c r="C168" s="12"/>
      <c r="D168" s="52"/>
      <c r="E168" s="317" t="s">
        <v>95</v>
      </c>
      <c r="F168" s="52" t="s">
        <v>97</v>
      </c>
      <c r="G168" s="17"/>
      <c r="H168" s="17"/>
      <c r="I168" s="21"/>
      <c r="J168" s="15"/>
      <c r="K168" s="15"/>
      <c r="L168" s="15"/>
      <c r="M168" s="59"/>
      <c r="N168" s="59"/>
      <c r="O168" s="59"/>
      <c r="P168" s="59"/>
      <c r="Q168" s="59"/>
      <c r="R168" s="59"/>
      <c r="S168" s="59"/>
      <c r="T168" s="59"/>
      <c r="U168" s="59"/>
      <c r="V168" s="59"/>
      <c r="W168" s="59"/>
      <c r="X168" s="59"/>
      <c r="Y168" s="59"/>
      <c r="Z168" s="15"/>
      <c r="AA168" s="15"/>
      <c r="AB168" s="16"/>
      <c r="AC168" s="15"/>
      <c r="AD168" s="15"/>
      <c r="AE168" s="17"/>
      <c r="AF168" s="15"/>
      <c r="AG168" s="15"/>
      <c r="AH168" s="17"/>
      <c r="AI168" s="15"/>
      <c r="AJ168" s="15"/>
      <c r="AK168" s="15"/>
    </row>
    <row r="169" spans="1:37" ht="12" customHeight="1" x14ac:dyDescent="0.2">
      <c r="A169" s="36"/>
      <c r="C169" s="22" t="s">
        <v>99</v>
      </c>
      <c r="D169" s="12"/>
      <c r="E169" s="63">
        <v>7.25</v>
      </c>
      <c r="F169" s="318">
        <v>40018</v>
      </c>
      <c r="G169" s="62"/>
      <c r="H169" s="62"/>
      <c r="I169" s="21"/>
      <c r="J169" s="36"/>
      <c r="K169" s="21"/>
      <c r="L169" s="17"/>
      <c r="M169" s="59"/>
      <c r="N169" s="59"/>
      <c r="O169" s="59"/>
      <c r="P169" s="59"/>
      <c r="Q169" s="59"/>
      <c r="R169" s="59"/>
      <c r="S169" s="59"/>
      <c r="T169" s="59"/>
      <c r="U169" s="59"/>
      <c r="V169" s="59"/>
      <c r="W169" s="59"/>
      <c r="X169" s="59"/>
      <c r="Y169" s="59"/>
    </row>
    <row r="170" spans="1:37" ht="12.75" x14ac:dyDescent="0.2">
      <c r="C170" s="282" t="s">
        <v>101</v>
      </c>
      <c r="D170" s="2"/>
      <c r="E170" s="332">
        <v>12</v>
      </c>
      <c r="F170" s="333">
        <v>43831</v>
      </c>
      <c r="G170" s="14"/>
      <c r="H170" s="17"/>
      <c r="I170" s="59"/>
      <c r="J170" s="36"/>
      <c r="K170" s="21"/>
      <c r="L170" s="17"/>
      <c r="M170" s="12"/>
      <c r="N170" s="12"/>
      <c r="O170" s="12"/>
      <c r="P170" s="12"/>
      <c r="Q170" s="12"/>
      <c r="R170" s="12"/>
      <c r="S170" s="12"/>
      <c r="T170" s="12"/>
      <c r="U170" s="12"/>
      <c r="V170" s="12"/>
      <c r="W170" s="12"/>
      <c r="X170" s="12"/>
      <c r="Y170" s="12"/>
    </row>
    <row r="171" spans="1:37" x14ac:dyDescent="0.2">
      <c r="C171" s="61" t="s">
        <v>103</v>
      </c>
      <c r="D171" s="12"/>
      <c r="E171" s="12"/>
      <c r="F171" s="12"/>
      <c r="G171" s="12"/>
      <c r="H171" s="12"/>
      <c r="I171" s="12"/>
      <c r="K171" s="59"/>
      <c r="M171" s="12"/>
      <c r="N171" s="12"/>
      <c r="O171" s="12"/>
      <c r="P171" s="12"/>
      <c r="Q171" s="12"/>
      <c r="R171" s="12"/>
      <c r="S171" s="12"/>
      <c r="T171" s="12"/>
      <c r="U171" s="12"/>
      <c r="V171" s="12"/>
      <c r="W171" s="12"/>
      <c r="X171" s="12"/>
      <c r="Y171" s="12"/>
    </row>
    <row r="172" spans="1:37" x14ac:dyDescent="0.2">
      <c r="K172" s="12"/>
      <c r="L172" s="12"/>
      <c r="M172" s="12"/>
      <c r="N172" s="12"/>
      <c r="O172" s="12"/>
      <c r="P172" s="12"/>
      <c r="Q172" s="12"/>
      <c r="R172" s="12"/>
      <c r="S172" s="12"/>
      <c r="T172" s="12"/>
      <c r="U172" s="12"/>
      <c r="V172" s="12"/>
      <c r="W172" s="12"/>
      <c r="X172" s="12"/>
      <c r="Y172" s="12"/>
      <c r="AJ172" s="12"/>
    </row>
    <row r="173" spans="1:37" x14ac:dyDescent="0.2">
      <c r="L173" s="12"/>
    </row>
    <row r="174" spans="1:37" x14ac:dyDescent="0.2">
      <c r="L174" s="12"/>
    </row>
    <row r="178" spans="1:25" x14ac:dyDescent="0.2">
      <c r="A178" s="323"/>
      <c r="B178" s="325"/>
      <c r="C178" s="325"/>
      <c r="D178" s="325"/>
      <c r="E178" s="325"/>
      <c r="F178" s="325"/>
      <c r="G178" s="325"/>
      <c r="H178" s="325"/>
      <c r="I178" s="325"/>
      <c r="J178" s="325"/>
      <c r="K178" s="325"/>
      <c r="L178" s="325"/>
      <c r="M178" s="325"/>
      <c r="N178" s="323"/>
      <c r="O178" s="323"/>
      <c r="P178" s="323"/>
      <c r="Q178" s="323"/>
      <c r="R178" s="323"/>
      <c r="S178" s="323"/>
      <c r="T178" s="323"/>
      <c r="U178" s="323"/>
      <c r="V178" s="323"/>
      <c r="W178" s="323"/>
      <c r="X178" s="323"/>
      <c r="Y178" s="323"/>
    </row>
    <row r="179" spans="1:25" ht="15" x14ac:dyDescent="0.2">
      <c r="A179" s="323"/>
      <c r="B179" s="324" t="s">
        <v>475</v>
      </c>
      <c r="C179" s="324"/>
      <c r="D179" s="324"/>
      <c r="E179" s="324"/>
      <c r="F179" s="324"/>
      <c r="G179" s="324"/>
      <c r="H179" s="324"/>
      <c r="I179" s="324"/>
      <c r="J179" s="324"/>
      <c r="K179" s="324" t="s">
        <v>302</v>
      </c>
      <c r="L179" s="324"/>
      <c r="M179" s="324"/>
      <c r="N179" s="324"/>
      <c r="O179" s="324"/>
      <c r="P179" s="324"/>
      <c r="Q179" s="324"/>
      <c r="R179" s="324"/>
      <c r="S179" s="324"/>
      <c r="T179" s="324"/>
      <c r="U179" s="324"/>
      <c r="V179" s="324"/>
      <c r="W179" s="324"/>
      <c r="X179" s="324"/>
      <c r="Y179" s="324"/>
    </row>
  </sheetData>
  <sheetProtection algorithmName="SHA-512" hashValue="+UgDzE+q+ZQTQbbHha7Y30HaWunZzWdsytJd8vyspe0JEl1/AQY6fBSihb2Qfnnrh7LOtJvdT46DPnc3Wig/XQ==" saltValue="91/UviLN2nXNcOgpbNOSpg==" spinCount="100000" sheet="1" objects="1" scenarios="1"/>
  <mergeCells count="27">
    <mergeCell ref="AG7:AH7"/>
    <mergeCell ref="C8:E9"/>
    <mergeCell ref="AF1:AH1"/>
    <mergeCell ref="AF2:AH2"/>
    <mergeCell ref="AE3:AG3"/>
    <mergeCell ref="O8:Q9"/>
    <mergeCell ref="E157:F157"/>
    <mergeCell ref="C21:E22"/>
    <mergeCell ref="C143:C144"/>
    <mergeCell ref="E143:E144"/>
    <mergeCell ref="AD7:AE7"/>
    <mergeCell ref="C34:E35"/>
    <mergeCell ref="O21:Q22"/>
    <mergeCell ref="O34:Q35"/>
    <mergeCell ref="C53:D53"/>
    <mergeCell ref="C54:D54"/>
    <mergeCell ref="C55:D55"/>
    <mergeCell ref="C56:D56"/>
    <mergeCell ref="C57:D57"/>
    <mergeCell ref="C58:D58"/>
    <mergeCell ref="C59:D59"/>
    <mergeCell ref="C137:E137"/>
    <mergeCell ref="C60:D60"/>
    <mergeCell ref="C61:D61"/>
    <mergeCell ref="C62:D62"/>
    <mergeCell ref="C63:D63"/>
    <mergeCell ref="D65:E65"/>
  </mergeCells>
  <hyperlinks>
    <hyperlink ref="E169" r:id="rId1" display="http://www.dol.gov/dol/topic/wages/minimumwage.htm"/>
    <hyperlink ref="H158" r:id="rId2" display="http://www.ssa.gov/oact/ProgData/oasdiRates.html"/>
    <hyperlink ref="J158" r:id="rId3" display="http://www.ssa.gov/oact/ProgData/oasdiRates.html"/>
    <hyperlink ref="H160" r:id="rId4" display="http://www.ssa.gov/oact/ProgData/taxRates.html"/>
    <hyperlink ref="J160" r:id="rId5" display="http://www.ssa.gov/oact/ProgData/taxRates.html"/>
    <hyperlink ref="C142" r:id="rId6"/>
    <hyperlink ref="C156" r:id="rId7"/>
    <hyperlink ref="J161" r:id="rId8" display="http://www.ssa.gov/oact/ProgData/taxRates.html"/>
    <hyperlink ref="H161" r:id="rId9" display="http://www.ssa.gov/oact/ProgData/taxRates.html"/>
    <hyperlink ref="C5" r:id="rId10"/>
    <hyperlink ref="E170" r:id="rId11" display="http://www.ica.state.az.us/Labor/Labor_MinWag_main.aspx"/>
    <hyperlink ref="F158" r:id="rId12" display="http://www.ssa.gov/oact/COLA/cbbdet.html"/>
  </hyperlinks>
  <printOptions horizontalCentered="1" verticalCentered="1"/>
  <pageMargins left="0.2" right="0.2" top="0.2" bottom="0.2" header="0" footer="0"/>
  <pageSetup scale="26" orientation="landscape" cellComments="asDisplayed" horizontalDpi="1200" verticalDpi="1200" r:id="rId13"/>
  <headerFooter alignWithMargins="0"/>
  <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C56"/>
  <sheetViews>
    <sheetView showGridLines="0" topLeftCell="A4" zoomScale="90" zoomScaleNormal="90" workbookViewId="0">
      <selection activeCell="H16" sqref="H16"/>
    </sheetView>
  </sheetViews>
  <sheetFormatPr defaultColWidth="9.140625" defaultRowHeight="12" x14ac:dyDescent="0.2"/>
  <cols>
    <col min="1" max="1" width="6" style="337" customWidth="1"/>
    <col min="2" max="2" width="2" style="337" customWidth="1"/>
    <col min="3" max="3" width="4.85546875" style="337" customWidth="1"/>
    <col min="4" max="4" width="61.42578125" style="337" bestFit="1" customWidth="1"/>
    <col min="5" max="5" width="5" style="338" customWidth="1"/>
    <col min="6" max="6" width="7" style="339" bestFit="1" customWidth="1"/>
    <col min="7" max="7" width="7" style="339" customWidth="1"/>
    <col min="8" max="8" width="7.28515625" style="339" bestFit="1" customWidth="1"/>
    <col min="9" max="9" width="7.28515625" style="339" customWidth="1"/>
    <col min="10" max="10" width="9" style="339" customWidth="1"/>
    <col min="11" max="11" width="5.28515625" style="338" hidden="1" customWidth="1"/>
    <col min="12" max="12" width="8" style="339" hidden="1" customWidth="1"/>
    <col min="13" max="13" width="5" style="337" hidden="1" customWidth="1"/>
    <col min="14" max="14" width="7" style="337" hidden="1" customWidth="1"/>
    <col min="15" max="15" width="4.85546875" style="337" hidden="1" customWidth="1"/>
    <col min="16" max="16" width="6" style="337" hidden="1" customWidth="1"/>
    <col min="17" max="17" width="5.7109375" style="337" hidden="1" customWidth="1"/>
    <col min="18" max="18" width="6" style="337" hidden="1" customWidth="1"/>
    <col min="19" max="19" width="1.28515625" style="337" hidden="1" customWidth="1"/>
    <col min="20" max="20" width="5" style="337" hidden="1" customWidth="1"/>
    <col min="21" max="21" width="7" style="338" hidden="1" customWidth="1"/>
    <col min="22" max="22" width="1.28515625" style="337" hidden="1" customWidth="1"/>
    <col min="23" max="23" width="5" style="337" hidden="1" customWidth="1"/>
    <col min="24" max="24" width="5.28515625" style="337" hidden="1" customWidth="1"/>
    <col min="25" max="25" width="8" style="338" hidden="1" customWidth="1"/>
    <col min="26" max="26" width="5" style="337" hidden="1" customWidth="1"/>
    <col min="27" max="27" width="7" style="337" hidden="1" customWidth="1"/>
    <col min="28" max="28" width="5.28515625" style="337" hidden="1" customWidth="1"/>
    <col min="29" max="29" width="7" style="337" hidden="1" customWidth="1"/>
    <col min="30" max="16384" width="9.140625" style="337"/>
  </cols>
  <sheetData>
    <row r="1" spans="1:29" ht="23.25" x14ac:dyDescent="0.35">
      <c r="A1" s="335" t="s">
        <v>546</v>
      </c>
      <c r="B1" s="336"/>
      <c r="W1" s="340"/>
      <c r="X1" s="341"/>
      <c r="Y1" s="341"/>
      <c r="Z1" s="341"/>
      <c r="AA1" s="342" t="s">
        <v>303</v>
      </c>
    </row>
    <row r="2" spans="1:29" ht="6.75" customHeight="1" thickBot="1" x14ac:dyDescent="0.25"/>
    <row r="3" spans="1:29" ht="29.25" customHeight="1" x14ac:dyDescent="0.35">
      <c r="A3" s="744"/>
      <c r="B3" s="744"/>
      <c r="C3" s="745"/>
      <c r="D3" s="745"/>
      <c r="E3" s="746" t="s">
        <v>304</v>
      </c>
      <c r="F3" s="747"/>
      <c r="G3" s="747"/>
      <c r="H3" s="747"/>
      <c r="I3" s="747"/>
      <c r="J3" s="747"/>
      <c r="K3" s="747"/>
      <c r="L3" s="747"/>
      <c r="M3" s="747"/>
      <c r="N3" s="747"/>
      <c r="O3" s="747"/>
      <c r="P3" s="747"/>
      <c r="Q3" s="747"/>
      <c r="R3" s="748"/>
      <c r="S3" s="343"/>
      <c r="T3" s="749" t="s">
        <v>305</v>
      </c>
      <c r="U3" s="750"/>
      <c r="V3" s="343"/>
      <c r="W3" s="751" t="s">
        <v>306</v>
      </c>
      <c r="X3" s="752"/>
      <c r="Y3" s="752"/>
      <c r="Z3" s="752"/>
      <c r="AA3" s="752"/>
      <c r="AB3" s="752"/>
      <c r="AC3" s="752"/>
    </row>
    <row r="4" spans="1:29" ht="15" x14ac:dyDescent="0.25">
      <c r="E4" s="753" t="s">
        <v>30</v>
      </c>
      <c r="F4" s="754"/>
      <c r="G4" s="754"/>
      <c r="H4" s="754"/>
      <c r="I4" s="754"/>
      <c r="J4" s="754"/>
      <c r="K4" s="755" t="s">
        <v>31</v>
      </c>
      <c r="L4" s="755"/>
      <c r="M4" s="755"/>
      <c r="N4" s="755"/>
      <c r="O4" s="755"/>
      <c r="P4" s="755"/>
      <c r="Q4" s="755"/>
      <c r="R4" s="756"/>
      <c r="S4" s="344"/>
      <c r="T4" s="755" t="s">
        <v>31</v>
      </c>
      <c r="U4" s="754"/>
      <c r="V4" s="344"/>
      <c r="W4" s="755" t="s">
        <v>31</v>
      </c>
      <c r="X4" s="757"/>
      <c r="Y4" s="757"/>
      <c r="Z4" s="757"/>
      <c r="AA4" s="757"/>
      <c r="AB4" s="757"/>
      <c r="AC4" s="757"/>
    </row>
    <row r="5" spans="1:29" ht="15" x14ac:dyDescent="0.25">
      <c r="E5" s="753" t="s">
        <v>307</v>
      </c>
      <c r="F5" s="755"/>
      <c r="G5" s="755" t="s">
        <v>308</v>
      </c>
      <c r="H5" s="755"/>
      <c r="I5" s="755" t="s">
        <v>309</v>
      </c>
      <c r="J5" s="755"/>
      <c r="K5" s="755" t="s">
        <v>307</v>
      </c>
      <c r="L5" s="755"/>
      <c r="M5" s="755" t="s">
        <v>310</v>
      </c>
      <c r="N5" s="755"/>
      <c r="O5" s="755" t="s">
        <v>311</v>
      </c>
      <c r="P5" s="755"/>
      <c r="Q5" s="755" t="s">
        <v>312</v>
      </c>
      <c r="R5" s="756"/>
      <c r="S5" s="344"/>
      <c r="T5" s="755" t="s">
        <v>307</v>
      </c>
      <c r="U5" s="755"/>
      <c r="V5" s="344"/>
      <c r="W5" s="758" t="s">
        <v>307</v>
      </c>
      <c r="X5" s="758"/>
      <c r="Y5" s="758"/>
      <c r="Z5" s="758" t="s">
        <v>311</v>
      </c>
      <c r="AA5" s="758"/>
      <c r="AB5" s="759" t="s">
        <v>310</v>
      </c>
      <c r="AC5" s="760"/>
    </row>
    <row r="6" spans="1:29" ht="12.75" thickBot="1" x14ac:dyDescent="0.25">
      <c r="C6" s="345" t="s">
        <v>32</v>
      </c>
      <c r="D6" s="346" t="s">
        <v>313</v>
      </c>
      <c r="E6" s="347" t="s">
        <v>33</v>
      </c>
      <c r="F6" s="348" t="s">
        <v>314</v>
      </c>
      <c r="G6" s="348" t="s">
        <v>33</v>
      </c>
      <c r="H6" s="348" t="s">
        <v>314</v>
      </c>
      <c r="I6" s="348" t="s">
        <v>33</v>
      </c>
      <c r="J6" s="348" t="s">
        <v>314</v>
      </c>
      <c r="K6" s="348" t="s">
        <v>33</v>
      </c>
      <c r="L6" s="348" t="s">
        <v>314</v>
      </c>
      <c r="M6" s="348" t="s">
        <v>33</v>
      </c>
      <c r="N6" s="348" t="s">
        <v>314</v>
      </c>
      <c r="O6" s="348" t="s">
        <v>33</v>
      </c>
      <c r="P6" s="348" t="s">
        <v>314</v>
      </c>
      <c r="Q6" s="348" t="s">
        <v>33</v>
      </c>
      <c r="R6" s="349" t="s">
        <v>314</v>
      </c>
      <c r="S6" s="344"/>
      <c r="T6" s="350" t="s">
        <v>33</v>
      </c>
      <c r="U6" s="350" t="s">
        <v>314</v>
      </c>
      <c r="V6" s="351"/>
      <c r="W6" s="350" t="s">
        <v>32</v>
      </c>
      <c r="X6" s="350" t="s">
        <v>33</v>
      </c>
      <c r="Y6" s="350" t="s">
        <v>314</v>
      </c>
      <c r="Z6" s="350" t="s">
        <v>33</v>
      </c>
      <c r="AA6" s="350" t="s">
        <v>314</v>
      </c>
      <c r="AB6" s="348" t="s">
        <v>33</v>
      </c>
      <c r="AC6" s="348" t="s">
        <v>314</v>
      </c>
    </row>
    <row r="7" spans="1:29" ht="27" customHeight="1" x14ac:dyDescent="0.2">
      <c r="A7" s="761" t="s">
        <v>12</v>
      </c>
      <c r="B7" s="352"/>
      <c r="C7" s="572">
        <v>1</v>
      </c>
      <c r="D7" s="353" t="s">
        <v>13</v>
      </c>
      <c r="E7" s="354">
        <v>7903</v>
      </c>
      <c r="F7" s="355">
        <v>0.1203</v>
      </c>
      <c r="G7" s="356">
        <v>7509</v>
      </c>
      <c r="H7" s="355">
        <v>1.4E-3</v>
      </c>
      <c r="I7" s="357"/>
      <c r="J7" s="357"/>
      <c r="K7" s="356">
        <v>7904</v>
      </c>
      <c r="L7" s="358">
        <v>0.1134</v>
      </c>
      <c r="M7" s="359"/>
      <c r="N7" s="360"/>
      <c r="O7" s="361">
        <v>7508</v>
      </c>
      <c r="P7" s="362">
        <v>1.6000000000000001E-3</v>
      </c>
      <c r="Q7" s="363"/>
      <c r="R7" s="364"/>
      <c r="T7" s="365">
        <v>7956</v>
      </c>
      <c r="U7" s="366">
        <v>9.3600000000000003E-2</v>
      </c>
      <c r="W7" s="367"/>
      <c r="X7" s="368"/>
      <c r="Y7" s="369"/>
      <c r="Z7" s="370"/>
      <c r="AA7" s="369"/>
      <c r="AB7" s="368"/>
      <c r="AC7" s="371"/>
    </row>
    <row r="8" spans="1:29" ht="18" customHeight="1" thickBot="1" x14ac:dyDescent="0.25">
      <c r="A8" s="762"/>
      <c r="B8" s="372"/>
      <c r="C8" s="573" t="s">
        <v>295</v>
      </c>
      <c r="D8" s="374" t="s">
        <v>296</v>
      </c>
      <c r="E8" s="375">
        <v>7919</v>
      </c>
      <c r="F8" s="376">
        <v>0.12189999999999999</v>
      </c>
      <c r="G8" s="377">
        <v>7509</v>
      </c>
      <c r="H8" s="376">
        <v>1.4E-3</v>
      </c>
      <c r="I8" s="378"/>
      <c r="J8" s="378"/>
      <c r="K8" s="377">
        <v>7920</v>
      </c>
      <c r="L8" s="379">
        <v>0.1134</v>
      </c>
      <c r="M8" s="380">
        <v>7984</v>
      </c>
      <c r="N8" s="381">
        <v>0.1216</v>
      </c>
      <c r="O8" s="382">
        <v>7508</v>
      </c>
      <c r="P8" s="383">
        <v>1.6000000000000001E-3</v>
      </c>
      <c r="Q8" s="384"/>
      <c r="R8" s="385"/>
      <c r="T8" s="386"/>
      <c r="U8" s="387"/>
      <c r="W8" s="388"/>
      <c r="X8" s="389"/>
      <c r="Y8" s="390"/>
      <c r="Z8" s="391"/>
      <c r="AA8" s="390"/>
      <c r="AB8" s="389"/>
      <c r="AC8" s="392"/>
    </row>
    <row r="9" spans="1:29" ht="16.5" customHeight="1" x14ac:dyDescent="0.2">
      <c r="A9" s="772" t="s">
        <v>14</v>
      </c>
      <c r="B9" s="393"/>
      <c r="C9" s="574">
        <v>0</v>
      </c>
      <c r="D9" s="353" t="s">
        <v>315</v>
      </c>
      <c r="E9" s="354">
        <v>7901</v>
      </c>
      <c r="F9" s="355">
        <v>8.4099999999999994E-2</v>
      </c>
      <c r="G9" s="394"/>
      <c r="H9" s="395"/>
      <c r="I9" s="357"/>
      <c r="J9" s="357"/>
      <c r="K9" s="361">
        <v>7902</v>
      </c>
      <c r="L9" s="358">
        <v>0.2117</v>
      </c>
      <c r="M9" s="359"/>
      <c r="N9" s="396"/>
      <c r="O9" s="397">
        <v>7520</v>
      </c>
      <c r="P9" s="398">
        <v>2.7000000000000001E-3</v>
      </c>
      <c r="Q9" s="394"/>
      <c r="R9" s="399"/>
      <c r="T9" s="365">
        <v>7938</v>
      </c>
      <c r="U9" s="366">
        <v>0.13730000000000001</v>
      </c>
      <c r="W9" s="365" t="s">
        <v>51</v>
      </c>
      <c r="X9" s="400">
        <v>7964</v>
      </c>
      <c r="Y9" s="358">
        <v>0.29580000000000001</v>
      </c>
      <c r="Z9" s="401">
        <v>7520</v>
      </c>
      <c r="AA9" s="358">
        <v>2.7000000000000001E-3</v>
      </c>
      <c r="AB9" s="368"/>
      <c r="AC9" s="371"/>
    </row>
    <row r="10" spans="1:29" ht="16.5" customHeight="1" x14ac:dyDescent="0.2">
      <c r="A10" s="773"/>
      <c r="B10" s="402"/>
      <c r="C10" s="575">
        <v>2</v>
      </c>
      <c r="D10" s="403" t="s">
        <v>316</v>
      </c>
      <c r="E10" s="404">
        <v>7905</v>
      </c>
      <c r="F10" s="405">
        <v>8.4099999999999994E-2</v>
      </c>
      <c r="G10" s="406"/>
      <c r="H10" s="407"/>
      <c r="I10" s="408"/>
      <c r="J10" s="408"/>
      <c r="K10" s="409">
        <v>7906</v>
      </c>
      <c r="L10" s="410">
        <v>0.31030000000000002</v>
      </c>
      <c r="M10" s="411"/>
      <c r="N10" s="412"/>
      <c r="O10" s="413">
        <v>7520</v>
      </c>
      <c r="P10" s="414">
        <v>2.7000000000000001E-3</v>
      </c>
      <c r="Q10" s="406"/>
      <c r="R10" s="415"/>
      <c r="T10" s="416">
        <v>7942</v>
      </c>
      <c r="U10" s="417">
        <v>0.2344</v>
      </c>
      <c r="W10" s="416" t="s">
        <v>46</v>
      </c>
      <c r="X10" s="418">
        <v>7966</v>
      </c>
      <c r="Y10" s="410">
        <v>0.39439999999999997</v>
      </c>
      <c r="Z10" s="419">
        <v>7520</v>
      </c>
      <c r="AA10" s="410">
        <v>2.7000000000000001E-3</v>
      </c>
      <c r="AB10" s="420"/>
      <c r="AC10" s="421"/>
    </row>
    <row r="11" spans="1:29" ht="16.5" customHeight="1" x14ac:dyDescent="0.2">
      <c r="A11" s="773"/>
      <c r="B11" s="402"/>
      <c r="C11" s="575" t="s">
        <v>20</v>
      </c>
      <c r="D11" s="403" t="s">
        <v>317</v>
      </c>
      <c r="E11" s="404">
        <v>7933</v>
      </c>
      <c r="F11" s="405">
        <v>7.9600000000000004E-2</v>
      </c>
      <c r="G11" s="406"/>
      <c r="H11" s="407"/>
      <c r="I11" s="408"/>
      <c r="J11" s="408"/>
      <c r="K11" s="422">
        <v>7934</v>
      </c>
      <c r="L11" s="410">
        <v>0.24479999999999999</v>
      </c>
      <c r="M11" s="411"/>
      <c r="N11" s="412"/>
      <c r="O11" s="413">
        <v>7520</v>
      </c>
      <c r="P11" s="414">
        <v>2.7000000000000001E-3</v>
      </c>
      <c r="Q11" s="406"/>
      <c r="R11" s="415"/>
      <c r="T11" s="416">
        <v>7944</v>
      </c>
      <c r="U11" s="417">
        <v>0.17649999999999999</v>
      </c>
      <c r="W11" s="416" t="s">
        <v>54</v>
      </c>
      <c r="X11" s="418">
        <v>7968</v>
      </c>
      <c r="Y11" s="410">
        <v>0.32440000000000002</v>
      </c>
      <c r="Z11" s="419">
        <v>7520</v>
      </c>
      <c r="AA11" s="410">
        <v>2.7000000000000001E-3</v>
      </c>
      <c r="AB11" s="420"/>
      <c r="AC11" s="421"/>
    </row>
    <row r="12" spans="1:29" ht="16.5" customHeight="1" thickBot="1" x14ac:dyDescent="0.25">
      <c r="A12" s="774"/>
      <c r="B12" s="423"/>
      <c r="C12" s="576" t="s">
        <v>22</v>
      </c>
      <c r="D12" s="374" t="s">
        <v>318</v>
      </c>
      <c r="E12" s="375">
        <v>7961</v>
      </c>
      <c r="F12" s="376">
        <v>8.4099999999999994E-2</v>
      </c>
      <c r="G12" s="384"/>
      <c r="H12" s="424"/>
      <c r="I12" s="378"/>
      <c r="J12" s="378"/>
      <c r="K12" s="382">
        <v>7962</v>
      </c>
      <c r="L12" s="379">
        <v>0.19309999999999999</v>
      </c>
      <c r="M12" s="425"/>
      <c r="N12" s="426"/>
      <c r="O12" s="427">
        <v>7520</v>
      </c>
      <c r="P12" s="428">
        <v>2.7000000000000001E-3</v>
      </c>
      <c r="Q12" s="384"/>
      <c r="R12" s="385"/>
      <c r="T12" s="429">
        <v>7958</v>
      </c>
      <c r="U12" s="430">
        <v>9.01E-2</v>
      </c>
      <c r="W12" s="431" t="s">
        <v>57</v>
      </c>
      <c r="X12" s="432">
        <v>7982</v>
      </c>
      <c r="Y12" s="379">
        <v>0.2772</v>
      </c>
      <c r="Z12" s="373">
        <v>7520</v>
      </c>
      <c r="AA12" s="379">
        <v>2.7000000000000001E-3</v>
      </c>
      <c r="AB12" s="389"/>
      <c r="AC12" s="392"/>
    </row>
    <row r="13" spans="1:29" ht="16.5" customHeight="1" x14ac:dyDescent="0.2">
      <c r="A13" s="772" t="s">
        <v>15</v>
      </c>
      <c r="B13" s="393"/>
      <c r="C13" s="572">
        <v>3</v>
      </c>
      <c r="D13" s="353" t="s">
        <v>319</v>
      </c>
      <c r="E13" s="433">
        <v>7907</v>
      </c>
      <c r="F13" s="434">
        <v>7.0000000000000007E-2</v>
      </c>
      <c r="G13" s="406"/>
      <c r="H13" s="407"/>
      <c r="I13" s="408"/>
      <c r="J13" s="408"/>
      <c r="K13" s="433">
        <v>7908</v>
      </c>
      <c r="L13" s="435">
        <v>0.23499999999999999</v>
      </c>
      <c r="M13" s="411"/>
      <c r="N13" s="407"/>
      <c r="O13" s="436">
        <v>7520</v>
      </c>
      <c r="P13" s="437">
        <v>2.7000000000000001E-3</v>
      </c>
      <c r="Q13" s="406"/>
      <c r="R13" s="415"/>
      <c r="T13" s="365">
        <v>7940</v>
      </c>
      <c r="U13" s="366">
        <v>0.23499999999999999</v>
      </c>
      <c r="W13" s="367"/>
      <c r="X13" s="368"/>
      <c r="Y13" s="369"/>
      <c r="Z13" s="370"/>
      <c r="AA13" s="369"/>
      <c r="AB13" s="368"/>
      <c r="AC13" s="371"/>
    </row>
    <row r="14" spans="1:29" ht="16.5" customHeight="1" x14ac:dyDescent="0.2">
      <c r="A14" s="773"/>
      <c r="B14" s="402"/>
      <c r="C14" s="577" t="s">
        <v>320</v>
      </c>
      <c r="D14" s="438" t="s">
        <v>321</v>
      </c>
      <c r="E14" s="439" t="s">
        <v>322</v>
      </c>
      <c r="F14" s="440">
        <v>0.13</v>
      </c>
      <c r="G14" s="406"/>
      <c r="H14" s="407"/>
      <c r="I14" s="408"/>
      <c r="J14" s="408"/>
      <c r="K14" s="439" t="s">
        <v>323</v>
      </c>
      <c r="L14" s="441">
        <v>0.23499999999999999</v>
      </c>
      <c r="M14" s="411"/>
      <c r="N14" s="407"/>
      <c r="O14" s="413">
        <v>7520</v>
      </c>
      <c r="P14" s="414">
        <v>2.7000000000000001E-3</v>
      </c>
      <c r="Q14" s="406"/>
      <c r="R14" s="415"/>
      <c r="T14" s="416">
        <v>7940</v>
      </c>
      <c r="U14" s="417">
        <v>0.23499999999999999</v>
      </c>
      <c r="V14" s="442"/>
      <c r="W14" s="443"/>
      <c r="X14" s="420"/>
      <c r="Y14" s="444"/>
      <c r="Z14" s="445"/>
      <c r="AA14" s="444"/>
      <c r="AB14" s="420"/>
      <c r="AC14" s="421"/>
    </row>
    <row r="15" spans="1:29" ht="16.5" customHeight="1" thickBot="1" x14ac:dyDescent="0.25">
      <c r="A15" s="774"/>
      <c r="B15" s="423"/>
      <c r="C15" s="573" t="s">
        <v>297</v>
      </c>
      <c r="D15" s="374" t="s">
        <v>324</v>
      </c>
      <c r="E15" s="377">
        <v>7813</v>
      </c>
      <c r="F15" s="376">
        <v>0.08</v>
      </c>
      <c r="G15" s="377">
        <v>7987</v>
      </c>
      <c r="H15" s="618">
        <v>1.65E-3</v>
      </c>
      <c r="I15" s="408"/>
      <c r="J15" s="408"/>
      <c r="K15" s="377">
        <v>7814</v>
      </c>
      <c r="L15" s="379">
        <v>0.05</v>
      </c>
      <c r="M15" s="377">
        <v>7986</v>
      </c>
      <c r="N15" s="376">
        <v>0.17499999999999999</v>
      </c>
      <c r="O15" s="427">
        <v>7520</v>
      </c>
      <c r="P15" s="428">
        <v>2.7000000000000001E-3</v>
      </c>
      <c r="Q15" s="377">
        <v>7988</v>
      </c>
      <c r="R15" s="446">
        <v>1.2999999999999999E-3</v>
      </c>
      <c r="T15" s="431">
        <v>7940</v>
      </c>
      <c r="U15" s="446">
        <v>0.23499999999999999</v>
      </c>
      <c r="V15" s="442"/>
      <c r="W15" s="388"/>
      <c r="X15" s="389"/>
      <c r="Y15" s="390"/>
      <c r="Z15" s="391"/>
      <c r="AA15" s="390"/>
      <c r="AB15" s="389"/>
      <c r="AC15" s="392"/>
    </row>
    <row r="16" spans="1:29" ht="16.5" customHeight="1" x14ac:dyDescent="0.2">
      <c r="A16" s="775" t="s">
        <v>325</v>
      </c>
      <c r="B16" s="447"/>
      <c r="C16" s="572">
        <v>4</v>
      </c>
      <c r="D16" s="353" t="s">
        <v>326</v>
      </c>
      <c r="E16" s="448">
        <v>7909</v>
      </c>
      <c r="F16" s="358">
        <v>2.6499999999999999E-2</v>
      </c>
      <c r="G16" s="449"/>
      <c r="H16" s="449"/>
      <c r="I16" s="450"/>
      <c r="J16" s="451"/>
      <c r="K16" s="448">
        <v>7910</v>
      </c>
      <c r="L16" s="358">
        <v>0.91969999999999996</v>
      </c>
      <c r="M16" s="359"/>
      <c r="N16" s="395"/>
      <c r="O16" s="397">
        <v>7520</v>
      </c>
      <c r="P16" s="398">
        <v>2.7000000000000001E-3</v>
      </c>
      <c r="Q16" s="394"/>
      <c r="R16" s="399"/>
      <c r="T16" s="365">
        <v>7936</v>
      </c>
      <c r="U16" s="366">
        <v>0.69650000000000001</v>
      </c>
      <c r="V16" s="442"/>
      <c r="W16" s="365" t="s">
        <v>47</v>
      </c>
      <c r="X16" s="452">
        <v>7970</v>
      </c>
      <c r="Y16" s="358">
        <v>0.94620000000000004</v>
      </c>
      <c r="Z16" s="401">
        <v>7520</v>
      </c>
      <c r="AA16" s="358">
        <v>2.7000000000000001E-3</v>
      </c>
      <c r="AB16" s="368"/>
      <c r="AC16" s="371"/>
    </row>
    <row r="17" spans="1:29" ht="16.5" customHeight="1" x14ac:dyDescent="0.2">
      <c r="A17" s="768"/>
      <c r="B17" s="453"/>
      <c r="C17" s="578">
        <v>5</v>
      </c>
      <c r="D17" s="403" t="s">
        <v>327</v>
      </c>
      <c r="E17" s="454">
        <v>7911</v>
      </c>
      <c r="F17" s="410">
        <v>7.6499999999999999E-2</v>
      </c>
      <c r="G17" s="455"/>
      <c r="H17" s="455"/>
      <c r="I17" s="456"/>
      <c r="J17" s="457"/>
      <c r="K17" s="454">
        <v>7912</v>
      </c>
      <c r="L17" s="410">
        <v>1.0470999999999999</v>
      </c>
      <c r="M17" s="411"/>
      <c r="N17" s="407"/>
      <c r="O17" s="413">
        <v>7520</v>
      </c>
      <c r="P17" s="414">
        <v>2.7000000000000001E-3</v>
      </c>
      <c r="Q17" s="406"/>
      <c r="R17" s="415"/>
      <c r="T17" s="416">
        <v>7946</v>
      </c>
      <c r="U17" s="417">
        <v>0.87119999999999997</v>
      </c>
      <c r="V17" s="442"/>
      <c r="W17" s="416" t="s">
        <v>48</v>
      </c>
      <c r="X17" s="458">
        <v>7972</v>
      </c>
      <c r="Y17" s="410">
        <v>1.1235999999999999</v>
      </c>
      <c r="Z17" s="419">
        <v>7520</v>
      </c>
      <c r="AA17" s="410">
        <v>2.7000000000000001E-3</v>
      </c>
      <c r="AB17" s="420"/>
      <c r="AC17" s="421"/>
    </row>
    <row r="18" spans="1:29" ht="16.5" customHeight="1" x14ac:dyDescent="0.2">
      <c r="A18" s="768"/>
      <c r="B18" s="453"/>
      <c r="C18" s="578">
        <v>6</v>
      </c>
      <c r="D18" s="403" t="s">
        <v>328</v>
      </c>
      <c r="E18" s="454">
        <v>7913</v>
      </c>
      <c r="F18" s="410">
        <v>7.6499999999999999E-2</v>
      </c>
      <c r="G18" s="455"/>
      <c r="H18" s="455"/>
      <c r="I18" s="456"/>
      <c r="J18" s="457"/>
      <c r="K18" s="454">
        <v>7914</v>
      </c>
      <c r="L18" s="410">
        <v>0.63529999999999998</v>
      </c>
      <c r="M18" s="411"/>
      <c r="N18" s="407"/>
      <c r="O18" s="413">
        <v>7520</v>
      </c>
      <c r="P18" s="414">
        <v>2.7000000000000001E-3</v>
      </c>
      <c r="Q18" s="406"/>
      <c r="R18" s="415"/>
      <c r="T18" s="416">
        <v>7948</v>
      </c>
      <c r="U18" s="417">
        <v>0.48060000000000003</v>
      </c>
      <c r="V18" s="442"/>
      <c r="W18" s="416" t="s">
        <v>49</v>
      </c>
      <c r="X18" s="458">
        <v>7974</v>
      </c>
      <c r="Y18" s="410">
        <v>0.71179999999999999</v>
      </c>
      <c r="Z18" s="419">
        <v>7520</v>
      </c>
      <c r="AA18" s="410">
        <v>2.7000000000000001E-3</v>
      </c>
      <c r="AB18" s="420"/>
      <c r="AC18" s="421"/>
    </row>
    <row r="19" spans="1:29" ht="16.5" customHeight="1" x14ac:dyDescent="0.2">
      <c r="A19" s="768"/>
      <c r="B19" s="453"/>
      <c r="C19" s="578">
        <v>7</v>
      </c>
      <c r="D19" s="403" t="s">
        <v>329</v>
      </c>
      <c r="E19" s="454">
        <v>7915</v>
      </c>
      <c r="F19" s="410">
        <v>7.6499999999999999E-2</v>
      </c>
      <c r="G19" s="455"/>
      <c r="H19" s="455"/>
      <c r="I19" s="456"/>
      <c r="J19" s="457"/>
      <c r="K19" s="454">
        <v>7916</v>
      </c>
      <c r="L19" s="410">
        <v>0.31219999999999998</v>
      </c>
      <c r="M19" s="411"/>
      <c r="N19" s="407"/>
      <c r="O19" s="413">
        <v>7520</v>
      </c>
      <c r="P19" s="414">
        <v>2.7000000000000001E-3</v>
      </c>
      <c r="Q19" s="406"/>
      <c r="R19" s="415"/>
      <c r="T19" s="416">
        <v>7950</v>
      </c>
      <c r="U19" s="417">
        <v>0.17050000000000001</v>
      </c>
      <c r="V19" s="442"/>
      <c r="W19" s="416" t="s">
        <v>50</v>
      </c>
      <c r="X19" s="458">
        <v>7976</v>
      </c>
      <c r="Y19" s="410">
        <v>0.38869999999999999</v>
      </c>
      <c r="Z19" s="419">
        <v>7520</v>
      </c>
      <c r="AA19" s="410">
        <v>2.7000000000000001E-3</v>
      </c>
      <c r="AB19" s="420"/>
      <c r="AC19" s="421"/>
    </row>
    <row r="20" spans="1:29" ht="16.5" customHeight="1" x14ac:dyDescent="0.2">
      <c r="A20" s="768"/>
      <c r="B20" s="453"/>
      <c r="C20" s="578" t="s">
        <v>18</v>
      </c>
      <c r="D20" s="403" t="s">
        <v>330</v>
      </c>
      <c r="E20" s="454">
        <v>7923</v>
      </c>
      <c r="F20" s="410">
        <v>7.6499999999999999E-2</v>
      </c>
      <c r="G20" s="455"/>
      <c r="H20" s="455"/>
      <c r="I20" s="456"/>
      <c r="J20" s="457"/>
      <c r="K20" s="454">
        <v>7924</v>
      </c>
      <c r="L20" s="410">
        <v>0.97</v>
      </c>
      <c r="M20" s="411"/>
      <c r="N20" s="407"/>
      <c r="O20" s="413">
        <v>7520</v>
      </c>
      <c r="P20" s="414">
        <v>2.7000000000000001E-3</v>
      </c>
      <c r="Q20" s="406"/>
      <c r="R20" s="415"/>
      <c r="T20" s="416">
        <v>7952</v>
      </c>
      <c r="U20" s="417">
        <v>0.8034</v>
      </c>
      <c r="V20" s="442"/>
      <c r="W20" s="416" t="s">
        <v>52</v>
      </c>
      <c r="X20" s="458">
        <v>7978</v>
      </c>
      <c r="Y20" s="410">
        <v>1.0465</v>
      </c>
      <c r="Z20" s="419">
        <v>7520</v>
      </c>
      <c r="AA20" s="410">
        <v>2.7000000000000001E-3</v>
      </c>
      <c r="AB20" s="420"/>
      <c r="AC20" s="421"/>
    </row>
    <row r="21" spans="1:29" ht="16.5" customHeight="1" x14ac:dyDescent="0.2">
      <c r="A21" s="768"/>
      <c r="B21" s="453"/>
      <c r="C21" s="578" t="s">
        <v>19</v>
      </c>
      <c r="D21" s="403" t="s">
        <v>331</v>
      </c>
      <c r="E21" s="454">
        <v>7931</v>
      </c>
      <c r="F21" s="410">
        <v>7.6499999999999999E-2</v>
      </c>
      <c r="G21" s="455"/>
      <c r="H21" s="455"/>
      <c r="I21" s="456"/>
      <c r="J21" s="457"/>
      <c r="K21" s="454">
        <v>7932</v>
      </c>
      <c r="L21" s="410">
        <v>0.57350000000000001</v>
      </c>
      <c r="M21" s="411"/>
      <c r="N21" s="407"/>
      <c r="O21" s="413">
        <v>7520</v>
      </c>
      <c r="P21" s="414">
        <v>2.7000000000000001E-3</v>
      </c>
      <c r="Q21" s="406"/>
      <c r="R21" s="415"/>
      <c r="T21" s="416">
        <v>7954</v>
      </c>
      <c r="U21" s="417">
        <v>0.40899999999999997</v>
      </c>
      <c r="V21" s="442"/>
      <c r="W21" s="416" t="s">
        <v>53</v>
      </c>
      <c r="X21" s="458">
        <v>7980</v>
      </c>
      <c r="Y21" s="410">
        <v>0.65</v>
      </c>
      <c r="Z21" s="419">
        <v>7520</v>
      </c>
      <c r="AA21" s="410">
        <v>2.7000000000000001E-3</v>
      </c>
      <c r="AB21" s="420"/>
      <c r="AC21" s="421"/>
    </row>
    <row r="22" spans="1:29" ht="16.5" customHeight="1" x14ac:dyDescent="0.2">
      <c r="A22" s="768"/>
      <c r="B22" s="453"/>
      <c r="C22" s="579" t="s">
        <v>332</v>
      </c>
      <c r="D22" s="459" t="s">
        <v>333</v>
      </c>
      <c r="E22" s="460"/>
      <c r="F22" s="461"/>
      <c r="G22" s="455"/>
      <c r="H22" s="455"/>
      <c r="I22" s="456"/>
      <c r="J22" s="457"/>
      <c r="K22" s="462"/>
      <c r="L22" s="457"/>
      <c r="M22" s="411"/>
      <c r="N22" s="407"/>
      <c r="O22" s="413">
        <v>7520</v>
      </c>
      <c r="P22" s="414">
        <v>2.7000000000000001E-3</v>
      </c>
      <c r="Q22" s="406"/>
      <c r="R22" s="415"/>
      <c r="T22" s="443"/>
      <c r="U22" s="463"/>
      <c r="V22" s="442"/>
      <c r="W22" s="443"/>
      <c r="X22" s="445"/>
      <c r="Y22" s="457"/>
      <c r="Z22" s="455"/>
      <c r="AA22" s="457"/>
      <c r="AB22" s="420"/>
      <c r="AC22" s="463"/>
    </row>
    <row r="23" spans="1:29" ht="16.5" customHeight="1" thickBot="1" x14ac:dyDescent="0.25">
      <c r="A23" s="769"/>
      <c r="B23" s="464"/>
      <c r="C23" s="580" t="s">
        <v>21</v>
      </c>
      <c r="D23" s="374" t="s">
        <v>334</v>
      </c>
      <c r="E23" s="465">
        <v>7957</v>
      </c>
      <c r="F23" s="379">
        <v>0</v>
      </c>
      <c r="G23" s="466"/>
      <c r="H23" s="466"/>
      <c r="I23" s="467"/>
      <c r="J23" s="468"/>
      <c r="K23" s="469"/>
      <c r="L23" s="470"/>
      <c r="M23" s="425"/>
      <c r="N23" s="424"/>
      <c r="O23" s="427">
        <v>7520</v>
      </c>
      <c r="P23" s="428">
        <v>2.7000000000000001E-3</v>
      </c>
      <c r="Q23" s="384"/>
      <c r="R23" s="385"/>
      <c r="T23" s="388"/>
      <c r="U23" s="471"/>
      <c r="V23" s="442"/>
      <c r="W23" s="388"/>
      <c r="X23" s="389"/>
      <c r="Y23" s="390"/>
      <c r="Z23" s="391"/>
      <c r="AA23" s="390"/>
      <c r="AB23" s="389"/>
      <c r="AC23" s="392"/>
    </row>
    <row r="24" spans="1:29" ht="16.5" customHeight="1" x14ac:dyDescent="0.2">
      <c r="A24" s="776" t="s">
        <v>335</v>
      </c>
      <c r="B24" s="472"/>
      <c r="C24" s="581" t="s">
        <v>336</v>
      </c>
      <c r="D24" s="473" t="s">
        <v>337</v>
      </c>
      <c r="E24" s="474" t="s">
        <v>338</v>
      </c>
      <c r="F24" s="475">
        <v>6.6500000000000004E-2</v>
      </c>
      <c r="G24" s="449"/>
      <c r="H24" s="449"/>
      <c r="I24" s="450"/>
      <c r="J24" s="451"/>
      <c r="K24" s="476" t="s">
        <v>339</v>
      </c>
      <c r="L24" s="475">
        <v>0.91969999999999996</v>
      </c>
      <c r="M24" s="359"/>
      <c r="N24" s="395"/>
      <c r="O24" s="397">
        <v>7520</v>
      </c>
      <c r="P24" s="398">
        <v>2.7000000000000001E-3</v>
      </c>
      <c r="Q24" s="394"/>
      <c r="R24" s="399"/>
      <c r="T24" s="365">
        <v>7936</v>
      </c>
      <c r="U24" s="366">
        <v>0.69650000000000001</v>
      </c>
      <c r="V24" s="442"/>
      <c r="W24" s="477" t="s">
        <v>340</v>
      </c>
      <c r="X24" s="478" t="s">
        <v>341</v>
      </c>
      <c r="Y24" s="475">
        <v>0.98619999999999997</v>
      </c>
      <c r="Z24" s="401">
        <v>7520</v>
      </c>
      <c r="AA24" s="358">
        <v>2.7000000000000001E-3</v>
      </c>
      <c r="AB24" s="368"/>
      <c r="AC24" s="371"/>
    </row>
    <row r="25" spans="1:29" ht="16.5" customHeight="1" x14ac:dyDescent="0.2">
      <c r="A25" s="777"/>
      <c r="B25" s="479"/>
      <c r="C25" s="577" t="s">
        <v>342</v>
      </c>
      <c r="D25" s="480" t="s">
        <v>343</v>
      </c>
      <c r="E25" s="481" t="s">
        <v>344</v>
      </c>
      <c r="F25" s="441">
        <v>0.11650000000000001</v>
      </c>
      <c r="G25" s="455"/>
      <c r="H25" s="455"/>
      <c r="I25" s="456"/>
      <c r="J25" s="457"/>
      <c r="K25" s="482" t="s">
        <v>345</v>
      </c>
      <c r="L25" s="441">
        <v>1.0470999999999999</v>
      </c>
      <c r="M25" s="411"/>
      <c r="N25" s="407"/>
      <c r="O25" s="413">
        <v>7520</v>
      </c>
      <c r="P25" s="414">
        <v>2.7000000000000001E-3</v>
      </c>
      <c r="Q25" s="406"/>
      <c r="R25" s="415"/>
      <c r="T25" s="416">
        <v>7946</v>
      </c>
      <c r="U25" s="417">
        <v>0.87119999999999997</v>
      </c>
      <c r="V25" s="442"/>
      <c r="W25" s="483" t="s">
        <v>346</v>
      </c>
      <c r="X25" s="484" t="s">
        <v>347</v>
      </c>
      <c r="Y25" s="441">
        <v>1.1636</v>
      </c>
      <c r="Z25" s="419">
        <v>7520</v>
      </c>
      <c r="AA25" s="410">
        <v>2.7000000000000001E-3</v>
      </c>
      <c r="AB25" s="420"/>
      <c r="AC25" s="421"/>
    </row>
    <row r="26" spans="1:29" ht="16.5" customHeight="1" x14ac:dyDescent="0.2">
      <c r="A26" s="777"/>
      <c r="B26" s="479"/>
      <c r="C26" s="577" t="s">
        <v>348</v>
      </c>
      <c r="D26" s="485" t="s">
        <v>349</v>
      </c>
      <c r="E26" s="481" t="s">
        <v>350</v>
      </c>
      <c r="F26" s="441">
        <v>0.11650000000000001</v>
      </c>
      <c r="G26" s="455"/>
      <c r="H26" s="455"/>
      <c r="I26" s="456"/>
      <c r="J26" s="457"/>
      <c r="K26" s="486" t="s">
        <v>351</v>
      </c>
      <c r="L26" s="441">
        <v>0.63529999999999998</v>
      </c>
      <c r="M26" s="411"/>
      <c r="N26" s="407"/>
      <c r="O26" s="413">
        <v>7520</v>
      </c>
      <c r="P26" s="414">
        <v>2.7000000000000001E-3</v>
      </c>
      <c r="Q26" s="406"/>
      <c r="R26" s="415"/>
      <c r="T26" s="416">
        <v>7948</v>
      </c>
      <c r="U26" s="417">
        <v>0.48060000000000003</v>
      </c>
      <c r="V26" s="442"/>
      <c r="W26" s="483" t="s">
        <v>352</v>
      </c>
      <c r="X26" s="484" t="s">
        <v>353</v>
      </c>
      <c r="Y26" s="441">
        <v>0.75180000000000002</v>
      </c>
      <c r="Z26" s="419">
        <v>7520</v>
      </c>
      <c r="AA26" s="410">
        <v>2.7000000000000001E-3</v>
      </c>
      <c r="AB26" s="420"/>
      <c r="AC26" s="421"/>
    </row>
    <row r="27" spans="1:29" ht="16.5" customHeight="1" x14ac:dyDescent="0.2">
      <c r="A27" s="777"/>
      <c r="B27" s="479"/>
      <c r="C27" s="577" t="s">
        <v>354</v>
      </c>
      <c r="D27" s="480" t="s">
        <v>355</v>
      </c>
      <c r="E27" s="481" t="s">
        <v>356</v>
      </c>
      <c r="F27" s="441">
        <v>0.11650000000000001</v>
      </c>
      <c r="G27" s="455"/>
      <c r="H27" s="455"/>
      <c r="I27" s="456"/>
      <c r="J27" s="457"/>
      <c r="K27" s="487" t="s">
        <v>357</v>
      </c>
      <c r="L27" s="441">
        <v>0.31219999999999998</v>
      </c>
      <c r="M27" s="411"/>
      <c r="N27" s="407"/>
      <c r="O27" s="413">
        <v>7520</v>
      </c>
      <c r="P27" s="414">
        <v>2.7000000000000001E-3</v>
      </c>
      <c r="Q27" s="406"/>
      <c r="R27" s="415"/>
      <c r="T27" s="416">
        <v>7950</v>
      </c>
      <c r="U27" s="417">
        <v>0.17050000000000001</v>
      </c>
      <c r="V27" s="442"/>
      <c r="W27" s="483" t="s">
        <v>358</v>
      </c>
      <c r="X27" s="484" t="s">
        <v>359</v>
      </c>
      <c r="Y27" s="441">
        <v>0.42870000000000003</v>
      </c>
      <c r="Z27" s="419">
        <v>7520</v>
      </c>
      <c r="AA27" s="410">
        <v>2.7000000000000001E-3</v>
      </c>
      <c r="AB27" s="420"/>
      <c r="AC27" s="421"/>
    </row>
    <row r="28" spans="1:29" ht="16.5" customHeight="1" x14ac:dyDescent="0.2">
      <c r="A28" s="777"/>
      <c r="B28" s="479"/>
      <c r="C28" s="577" t="s">
        <v>360</v>
      </c>
      <c r="D28" s="480" t="s">
        <v>361</v>
      </c>
      <c r="E28" s="481" t="s">
        <v>362</v>
      </c>
      <c r="F28" s="441">
        <v>0.11650000000000001</v>
      </c>
      <c r="G28" s="455"/>
      <c r="H28" s="455"/>
      <c r="I28" s="456"/>
      <c r="J28" s="457"/>
      <c r="K28" s="482" t="s">
        <v>363</v>
      </c>
      <c r="L28" s="441">
        <v>0.97</v>
      </c>
      <c r="M28" s="411"/>
      <c r="N28" s="407"/>
      <c r="O28" s="413">
        <v>7520</v>
      </c>
      <c r="P28" s="414">
        <v>2.7000000000000001E-3</v>
      </c>
      <c r="Q28" s="406"/>
      <c r="R28" s="415"/>
      <c r="T28" s="416">
        <v>7952</v>
      </c>
      <c r="U28" s="417">
        <v>0.8034</v>
      </c>
      <c r="V28" s="442"/>
      <c r="W28" s="483" t="s">
        <v>364</v>
      </c>
      <c r="X28" s="484" t="s">
        <v>365</v>
      </c>
      <c r="Y28" s="441">
        <v>1.0865</v>
      </c>
      <c r="Z28" s="419">
        <v>7520</v>
      </c>
      <c r="AA28" s="410">
        <v>2.7000000000000001E-3</v>
      </c>
      <c r="AB28" s="420"/>
      <c r="AC28" s="421"/>
    </row>
    <row r="29" spans="1:29" ht="16.5" customHeight="1" thickBot="1" x14ac:dyDescent="0.25">
      <c r="A29" s="778"/>
      <c r="B29" s="488"/>
      <c r="C29" s="582" t="s">
        <v>366</v>
      </c>
      <c r="D29" s="489" t="s">
        <v>367</v>
      </c>
      <c r="E29" s="490" t="s">
        <v>368</v>
      </c>
      <c r="F29" s="491">
        <v>0.11650000000000001</v>
      </c>
      <c r="G29" s="466"/>
      <c r="H29" s="466"/>
      <c r="I29" s="467"/>
      <c r="J29" s="468"/>
      <c r="K29" s="492" t="s">
        <v>369</v>
      </c>
      <c r="L29" s="491">
        <v>0.57350000000000001</v>
      </c>
      <c r="M29" s="425"/>
      <c r="N29" s="424"/>
      <c r="O29" s="427">
        <v>7520</v>
      </c>
      <c r="P29" s="428">
        <v>2.7000000000000001E-3</v>
      </c>
      <c r="Q29" s="384"/>
      <c r="R29" s="385"/>
      <c r="T29" s="431">
        <v>7954</v>
      </c>
      <c r="U29" s="446">
        <v>0.40899999999999997</v>
      </c>
      <c r="V29" s="442"/>
      <c r="W29" s="429" t="s">
        <v>370</v>
      </c>
      <c r="X29" s="493" t="s">
        <v>371</v>
      </c>
      <c r="Y29" s="491">
        <v>0.69</v>
      </c>
      <c r="Z29" s="373">
        <v>7520</v>
      </c>
      <c r="AA29" s="379">
        <v>2.7000000000000001E-3</v>
      </c>
      <c r="AB29" s="389"/>
      <c r="AC29" s="392"/>
    </row>
    <row r="30" spans="1:29" ht="16.5" customHeight="1" x14ac:dyDescent="0.2">
      <c r="A30" s="770" t="s">
        <v>372</v>
      </c>
      <c r="B30" s="763" t="s">
        <v>373</v>
      </c>
      <c r="C30" s="583" t="s">
        <v>374</v>
      </c>
      <c r="D30" s="494" t="s">
        <v>375</v>
      </c>
      <c r="E30" s="495" t="s">
        <v>376</v>
      </c>
      <c r="F30" s="496">
        <v>0.1055</v>
      </c>
      <c r="G30" s="449"/>
      <c r="H30" s="449"/>
      <c r="I30" s="450"/>
      <c r="J30" s="451"/>
      <c r="K30" s="497" t="s">
        <v>377</v>
      </c>
      <c r="L30" s="496">
        <v>0.80200000000000005</v>
      </c>
      <c r="M30" s="449"/>
      <c r="N30" s="449"/>
      <c r="O30" s="397">
        <v>7520</v>
      </c>
      <c r="P30" s="398">
        <v>2.7000000000000001E-3</v>
      </c>
      <c r="Q30" s="394"/>
      <c r="R30" s="399"/>
      <c r="T30" s="365">
        <v>7936</v>
      </c>
      <c r="U30" s="366">
        <v>0.69650000000000001</v>
      </c>
      <c r="V30" s="442"/>
      <c r="W30" s="498" t="s">
        <v>378</v>
      </c>
      <c r="X30" s="499" t="s">
        <v>379</v>
      </c>
      <c r="Y30" s="496">
        <v>0.90749999999999997</v>
      </c>
      <c r="Z30" s="401">
        <v>7520</v>
      </c>
      <c r="AA30" s="500">
        <v>2.7000000000000001E-3</v>
      </c>
      <c r="AB30" s="368"/>
      <c r="AC30" s="371"/>
    </row>
    <row r="31" spans="1:29" ht="16.5" customHeight="1" x14ac:dyDescent="0.2">
      <c r="A31" s="771"/>
      <c r="B31" s="764"/>
      <c r="C31" s="584" t="s">
        <v>380</v>
      </c>
      <c r="D31" s="501" t="s">
        <v>381</v>
      </c>
      <c r="E31" s="502" t="s">
        <v>382</v>
      </c>
      <c r="F31" s="503">
        <v>9.9400000000000002E-2</v>
      </c>
      <c r="G31" s="455"/>
      <c r="H31" s="455"/>
      <c r="I31" s="456"/>
      <c r="J31" s="457"/>
      <c r="K31" s="504" t="s">
        <v>383</v>
      </c>
      <c r="L31" s="503">
        <v>0.97060000000000002</v>
      </c>
      <c r="M31" s="455"/>
      <c r="N31" s="455"/>
      <c r="O31" s="413">
        <v>7520</v>
      </c>
      <c r="P31" s="414">
        <v>2.7000000000000001E-3</v>
      </c>
      <c r="Q31" s="406"/>
      <c r="R31" s="415"/>
      <c r="T31" s="416">
        <v>7946</v>
      </c>
      <c r="U31" s="417">
        <v>0.87119999999999997</v>
      </c>
      <c r="V31" s="442"/>
      <c r="W31" s="505" t="s">
        <v>384</v>
      </c>
      <c r="X31" s="506" t="s">
        <v>385</v>
      </c>
      <c r="Y31" s="503">
        <v>1.07</v>
      </c>
      <c r="Z31" s="419">
        <v>7520</v>
      </c>
      <c r="AA31" s="507">
        <v>2.7000000000000001E-3</v>
      </c>
      <c r="AB31" s="420"/>
      <c r="AC31" s="421"/>
    </row>
    <row r="32" spans="1:29" ht="16.5" customHeight="1" x14ac:dyDescent="0.2">
      <c r="A32" s="771"/>
      <c r="B32" s="764"/>
      <c r="C32" s="584" t="s">
        <v>386</v>
      </c>
      <c r="D32" s="501" t="s">
        <v>387</v>
      </c>
      <c r="E32" s="502" t="s">
        <v>388</v>
      </c>
      <c r="F32" s="503">
        <v>9.9400000000000002E-2</v>
      </c>
      <c r="G32" s="455"/>
      <c r="H32" s="455"/>
      <c r="I32" s="456"/>
      <c r="J32" s="457"/>
      <c r="K32" s="504" t="s">
        <v>389</v>
      </c>
      <c r="L32" s="503">
        <v>0.57999999999999996</v>
      </c>
      <c r="M32" s="455"/>
      <c r="N32" s="455"/>
      <c r="O32" s="413">
        <v>7520</v>
      </c>
      <c r="P32" s="414">
        <v>2.7000000000000001E-3</v>
      </c>
      <c r="Q32" s="406"/>
      <c r="R32" s="415"/>
      <c r="T32" s="416">
        <v>7948</v>
      </c>
      <c r="U32" s="417">
        <v>0.48060000000000003</v>
      </c>
      <c r="V32" s="442"/>
      <c r="W32" s="505" t="s">
        <v>390</v>
      </c>
      <c r="X32" s="506" t="s">
        <v>391</v>
      </c>
      <c r="Y32" s="503">
        <v>0.6794</v>
      </c>
      <c r="Z32" s="419">
        <v>7520</v>
      </c>
      <c r="AA32" s="507">
        <v>2.7000000000000001E-3</v>
      </c>
      <c r="AB32" s="420"/>
      <c r="AC32" s="421"/>
    </row>
    <row r="33" spans="1:29" ht="16.5" customHeight="1" x14ac:dyDescent="0.2">
      <c r="A33" s="771"/>
      <c r="B33" s="764"/>
      <c r="C33" s="584" t="s">
        <v>392</v>
      </c>
      <c r="D33" s="501" t="s">
        <v>393</v>
      </c>
      <c r="E33" s="502" t="s">
        <v>394</v>
      </c>
      <c r="F33" s="503">
        <v>9.9400000000000002E-2</v>
      </c>
      <c r="G33" s="455"/>
      <c r="H33" s="455"/>
      <c r="I33" s="456"/>
      <c r="J33" s="457"/>
      <c r="K33" s="504" t="s">
        <v>395</v>
      </c>
      <c r="L33" s="503">
        <v>0.26989999999999997</v>
      </c>
      <c r="M33" s="455"/>
      <c r="N33" s="455"/>
      <c r="O33" s="413">
        <v>7520</v>
      </c>
      <c r="P33" s="414">
        <v>2.7000000000000001E-3</v>
      </c>
      <c r="Q33" s="406"/>
      <c r="R33" s="415"/>
      <c r="T33" s="416">
        <v>7950</v>
      </c>
      <c r="U33" s="417">
        <v>0.17050000000000001</v>
      </c>
      <c r="V33" s="442"/>
      <c r="W33" s="505" t="s">
        <v>396</v>
      </c>
      <c r="X33" s="506" t="s">
        <v>397</v>
      </c>
      <c r="Y33" s="503">
        <v>0.36930000000000002</v>
      </c>
      <c r="Z33" s="419">
        <v>7520</v>
      </c>
      <c r="AA33" s="507">
        <v>2.7000000000000001E-3</v>
      </c>
      <c r="AB33" s="420"/>
      <c r="AC33" s="421"/>
    </row>
    <row r="34" spans="1:29" ht="16.5" customHeight="1" x14ac:dyDescent="0.2">
      <c r="A34" s="771"/>
      <c r="B34" s="764"/>
      <c r="C34" s="584" t="s">
        <v>398</v>
      </c>
      <c r="D34" s="501" t="s">
        <v>399</v>
      </c>
      <c r="E34" s="502" t="s">
        <v>400</v>
      </c>
      <c r="F34" s="503">
        <v>9.9400000000000002E-2</v>
      </c>
      <c r="G34" s="455"/>
      <c r="H34" s="455"/>
      <c r="I34" s="456"/>
      <c r="J34" s="457"/>
      <c r="K34" s="508" t="s">
        <v>401</v>
      </c>
      <c r="L34" s="503">
        <v>0.90280000000000005</v>
      </c>
      <c r="M34" s="455"/>
      <c r="N34" s="455"/>
      <c r="O34" s="413">
        <v>7520</v>
      </c>
      <c r="P34" s="414">
        <v>2.7000000000000001E-3</v>
      </c>
      <c r="Q34" s="406"/>
      <c r="R34" s="415"/>
      <c r="T34" s="416">
        <v>7952</v>
      </c>
      <c r="U34" s="417">
        <v>0.8034</v>
      </c>
      <c r="V34" s="442"/>
      <c r="W34" s="505" t="s">
        <v>402</v>
      </c>
      <c r="X34" s="506" t="s">
        <v>403</v>
      </c>
      <c r="Y34" s="503">
        <v>1.0022</v>
      </c>
      <c r="Z34" s="419">
        <v>7520</v>
      </c>
      <c r="AA34" s="507">
        <v>2.7000000000000001E-3</v>
      </c>
      <c r="AB34" s="420"/>
      <c r="AC34" s="421"/>
    </row>
    <row r="35" spans="1:29" ht="16.5" customHeight="1" thickBot="1" x14ac:dyDescent="0.25">
      <c r="A35" s="771"/>
      <c r="B35" s="765"/>
      <c r="C35" s="585" t="s">
        <v>404</v>
      </c>
      <c r="D35" s="509" t="s">
        <v>405</v>
      </c>
      <c r="E35" s="510" t="s">
        <v>406</v>
      </c>
      <c r="F35" s="511">
        <v>9.9400000000000002E-2</v>
      </c>
      <c r="G35" s="466"/>
      <c r="H35" s="466"/>
      <c r="I35" s="467"/>
      <c r="J35" s="468"/>
      <c r="K35" s="512" t="s">
        <v>407</v>
      </c>
      <c r="L35" s="511">
        <v>0.50839999999999996</v>
      </c>
      <c r="M35" s="466"/>
      <c r="N35" s="466"/>
      <c r="O35" s="427">
        <v>7520</v>
      </c>
      <c r="P35" s="428">
        <v>2.7000000000000001E-3</v>
      </c>
      <c r="Q35" s="384"/>
      <c r="R35" s="385"/>
      <c r="T35" s="431">
        <v>7954</v>
      </c>
      <c r="U35" s="446">
        <v>0.40899999999999997</v>
      </c>
      <c r="V35" s="442"/>
      <c r="W35" s="513" t="s">
        <v>408</v>
      </c>
      <c r="X35" s="514" t="s">
        <v>409</v>
      </c>
      <c r="Y35" s="511">
        <v>0.60780000000000001</v>
      </c>
      <c r="Z35" s="373">
        <v>7520</v>
      </c>
      <c r="AA35" s="515">
        <v>2.7000000000000001E-3</v>
      </c>
      <c r="AB35" s="389"/>
      <c r="AC35" s="392"/>
    </row>
    <row r="36" spans="1:29" ht="16.5" customHeight="1" x14ac:dyDescent="0.2">
      <c r="A36" s="771"/>
      <c r="B36" s="766" t="s">
        <v>67</v>
      </c>
      <c r="C36" s="586" t="s">
        <v>410</v>
      </c>
      <c r="D36" s="516" t="s">
        <v>468</v>
      </c>
      <c r="E36" s="517" t="s">
        <v>411</v>
      </c>
      <c r="F36" s="518">
        <v>0.09</v>
      </c>
      <c r="G36" s="519">
        <v>7521</v>
      </c>
      <c r="H36" s="518">
        <v>1.41E-2</v>
      </c>
      <c r="I36" s="520"/>
      <c r="J36" s="521"/>
      <c r="K36" s="517" t="s">
        <v>412</v>
      </c>
      <c r="L36" s="518">
        <v>0.09</v>
      </c>
      <c r="M36" s="519" t="s">
        <v>413</v>
      </c>
      <c r="N36" s="522">
        <v>0.69650000000000001</v>
      </c>
      <c r="O36" s="436">
        <v>7520</v>
      </c>
      <c r="P36" s="437">
        <v>2.7000000000000001E-3</v>
      </c>
      <c r="Q36" s="519">
        <v>7522</v>
      </c>
      <c r="R36" s="523">
        <v>1.17E-2</v>
      </c>
      <c r="T36" s="524">
        <v>7936</v>
      </c>
      <c r="U36" s="525">
        <v>0.69650000000000001</v>
      </c>
      <c r="V36" s="442"/>
      <c r="W36" s="526" t="s">
        <v>414</v>
      </c>
      <c r="X36" s="527" t="s">
        <v>415</v>
      </c>
      <c r="Y36" s="528">
        <v>0.18</v>
      </c>
      <c r="Z36" s="401">
        <v>7520</v>
      </c>
      <c r="AA36" s="500">
        <v>2.7000000000000001E-3</v>
      </c>
      <c r="AB36" s="529" t="s">
        <v>413</v>
      </c>
      <c r="AC36" s="530">
        <v>0.69650000000000001</v>
      </c>
    </row>
    <row r="37" spans="1:29" ht="16.5" customHeight="1" x14ac:dyDescent="0.2">
      <c r="A37" s="771"/>
      <c r="B37" s="764"/>
      <c r="C37" s="587" t="s">
        <v>416</v>
      </c>
      <c r="D37" s="531" t="s">
        <v>469</v>
      </c>
      <c r="E37" s="517" t="s">
        <v>417</v>
      </c>
      <c r="F37" s="532">
        <v>0.09</v>
      </c>
      <c r="G37" s="533">
        <v>7523</v>
      </c>
      <c r="H37" s="518">
        <v>1.41E-2</v>
      </c>
      <c r="I37" s="520"/>
      <c r="J37" s="521"/>
      <c r="K37" s="534" t="s">
        <v>418</v>
      </c>
      <c r="L37" s="532">
        <v>0.09</v>
      </c>
      <c r="M37" s="533" t="s">
        <v>419</v>
      </c>
      <c r="N37" s="535">
        <v>0.87119999999999997</v>
      </c>
      <c r="O37" s="413">
        <v>7520</v>
      </c>
      <c r="P37" s="414">
        <v>2.7000000000000001E-3</v>
      </c>
      <c r="Q37" s="533">
        <v>7524</v>
      </c>
      <c r="R37" s="536">
        <v>1.17E-2</v>
      </c>
      <c r="T37" s="416">
        <v>7946</v>
      </c>
      <c r="U37" s="417">
        <v>0.87119999999999997</v>
      </c>
      <c r="V37" s="442"/>
      <c r="W37" s="537" t="s">
        <v>420</v>
      </c>
      <c r="X37" s="538" t="s">
        <v>421</v>
      </c>
      <c r="Y37" s="539">
        <v>0.18</v>
      </c>
      <c r="Z37" s="419">
        <v>7520</v>
      </c>
      <c r="AA37" s="507">
        <v>2.7000000000000001E-3</v>
      </c>
      <c r="AB37" s="540" t="s">
        <v>419</v>
      </c>
      <c r="AC37" s="541">
        <v>0.87119999999999997</v>
      </c>
    </row>
    <row r="38" spans="1:29" ht="16.5" customHeight="1" x14ac:dyDescent="0.2">
      <c r="A38" s="771"/>
      <c r="B38" s="764"/>
      <c r="C38" s="587" t="s">
        <v>422</v>
      </c>
      <c r="D38" s="531" t="s">
        <v>470</v>
      </c>
      <c r="E38" s="517" t="s">
        <v>423</v>
      </c>
      <c r="F38" s="532">
        <v>0.09</v>
      </c>
      <c r="G38" s="533">
        <v>7525</v>
      </c>
      <c r="H38" s="518">
        <v>1.41E-2</v>
      </c>
      <c r="I38" s="520"/>
      <c r="J38" s="521"/>
      <c r="K38" s="534" t="s">
        <v>424</v>
      </c>
      <c r="L38" s="532">
        <v>0.09</v>
      </c>
      <c r="M38" s="533" t="s">
        <v>425</v>
      </c>
      <c r="N38" s="535">
        <v>0.48060000000000003</v>
      </c>
      <c r="O38" s="413">
        <v>7520</v>
      </c>
      <c r="P38" s="414">
        <v>2.7000000000000001E-3</v>
      </c>
      <c r="Q38" s="533">
        <v>7526</v>
      </c>
      <c r="R38" s="536">
        <v>1.17E-2</v>
      </c>
      <c r="T38" s="416">
        <v>7948</v>
      </c>
      <c r="U38" s="417">
        <v>0.48060000000000003</v>
      </c>
      <c r="V38" s="442"/>
      <c r="W38" s="537" t="s">
        <v>426</v>
      </c>
      <c r="X38" s="538" t="s">
        <v>427</v>
      </c>
      <c r="Y38" s="539">
        <v>0.18</v>
      </c>
      <c r="Z38" s="419">
        <v>7520</v>
      </c>
      <c r="AA38" s="507">
        <v>2.7000000000000001E-3</v>
      </c>
      <c r="AB38" s="540" t="s">
        <v>425</v>
      </c>
      <c r="AC38" s="541">
        <v>0.48060000000000003</v>
      </c>
    </row>
    <row r="39" spans="1:29" ht="16.5" customHeight="1" x14ac:dyDescent="0.2">
      <c r="A39" s="771"/>
      <c r="B39" s="764"/>
      <c r="C39" s="587" t="s">
        <v>428</v>
      </c>
      <c r="D39" s="531" t="s">
        <v>471</v>
      </c>
      <c r="E39" s="517" t="s">
        <v>429</v>
      </c>
      <c r="F39" s="532">
        <v>0.09</v>
      </c>
      <c r="G39" s="533">
        <v>7527</v>
      </c>
      <c r="H39" s="518">
        <v>1.41E-2</v>
      </c>
      <c r="I39" s="520"/>
      <c r="J39" s="521"/>
      <c r="K39" s="534" t="s">
        <v>430</v>
      </c>
      <c r="L39" s="532">
        <v>0.09</v>
      </c>
      <c r="M39" s="533" t="s">
        <v>431</v>
      </c>
      <c r="N39" s="535">
        <v>0.17050000000000001</v>
      </c>
      <c r="O39" s="413">
        <v>7520</v>
      </c>
      <c r="P39" s="414">
        <v>2.7000000000000001E-3</v>
      </c>
      <c r="Q39" s="533">
        <v>7528</v>
      </c>
      <c r="R39" s="536">
        <v>1.17E-2</v>
      </c>
      <c r="T39" s="416">
        <v>7950</v>
      </c>
      <c r="U39" s="417">
        <v>0.17050000000000001</v>
      </c>
      <c r="V39" s="442"/>
      <c r="W39" s="537" t="s">
        <v>432</v>
      </c>
      <c r="X39" s="538" t="s">
        <v>433</v>
      </c>
      <c r="Y39" s="539">
        <v>0.18</v>
      </c>
      <c r="Z39" s="419">
        <v>7520</v>
      </c>
      <c r="AA39" s="507">
        <v>2.7000000000000001E-3</v>
      </c>
      <c r="AB39" s="540" t="s">
        <v>431</v>
      </c>
      <c r="AC39" s="541">
        <v>0.17050000000000001</v>
      </c>
    </row>
    <row r="40" spans="1:29" ht="16.5" customHeight="1" x14ac:dyDescent="0.2">
      <c r="A40" s="771"/>
      <c r="B40" s="764"/>
      <c r="C40" s="587" t="s">
        <v>434</v>
      </c>
      <c r="D40" s="531" t="s">
        <v>472</v>
      </c>
      <c r="E40" s="517" t="s">
        <v>435</v>
      </c>
      <c r="F40" s="532">
        <v>0.09</v>
      </c>
      <c r="G40" s="533">
        <v>7529</v>
      </c>
      <c r="H40" s="518">
        <v>1.41E-2</v>
      </c>
      <c r="I40" s="520"/>
      <c r="J40" s="521"/>
      <c r="K40" s="534" t="s">
        <v>436</v>
      </c>
      <c r="L40" s="532">
        <v>0.09</v>
      </c>
      <c r="M40" s="533" t="s">
        <v>437</v>
      </c>
      <c r="N40" s="535">
        <v>0.8034</v>
      </c>
      <c r="O40" s="413">
        <v>7520</v>
      </c>
      <c r="P40" s="414">
        <v>2.7000000000000001E-3</v>
      </c>
      <c r="Q40" s="533">
        <v>7530</v>
      </c>
      <c r="R40" s="536">
        <v>1.17E-2</v>
      </c>
      <c r="T40" s="416">
        <v>7952</v>
      </c>
      <c r="U40" s="417">
        <v>0.8034</v>
      </c>
      <c r="V40" s="442"/>
      <c r="W40" s="537" t="s">
        <v>438</v>
      </c>
      <c r="X40" s="538" t="s">
        <v>439</v>
      </c>
      <c r="Y40" s="539">
        <v>0.18</v>
      </c>
      <c r="Z40" s="419">
        <v>7520</v>
      </c>
      <c r="AA40" s="507">
        <v>2.7000000000000001E-3</v>
      </c>
      <c r="AB40" s="540" t="s">
        <v>437</v>
      </c>
      <c r="AC40" s="541">
        <v>0.8034</v>
      </c>
    </row>
    <row r="41" spans="1:29" ht="16.5" customHeight="1" thickBot="1" x14ac:dyDescent="0.25">
      <c r="A41" s="779"/>
      <c r="B41" s="767"/>
      <c r="C41" s="585" t="s">
        <v>440</v>
      </c>
      <c r="D41" s="542" t="s">
        <v>473</v>
      </c>
      <c r="E41" s="517" t="s">
        <v>441</v>
      </c>
      <c r="F41" s="532">
        <v>0.09</v>
      </c>
      <c r="G41" s="533">
        <v>7531</v>
      </c>
      <c r="H41" s="518">
        <v>1.41E-2</v>
      </c>
      <c r="I41" s="520"/>
      <c r="J41" s="521"/>
      <c r="K41" s="534" t="s">
        <v>442</v>
      </c>
      <c r="L41" s="532">
        <v>0.09</v>
      </c>
      <c r="M41" s="533" t="s">
        <v>443</v>
      </c>
      <c r="N41" s="535">
        <v>0.40899999999999997</v>
      </c>
      <c r="O41" s="413">
        <v>7520</v>
      </c>
      <c r="P41" s="414">
        <v>2.7000000000000001E-3</v>
      </c>
      <c r="Q41" s="533">
        <v>7532</v>
      </c>
      <c r="R41" s="536">
        <v>1.17E-2</v>
      </c>
      <c r="T41" s="543">
        <v>7954</v>
      </c>
      <c r="U41" s="446">
        <v>0.40899999999999997</v>
      </c>
      <c r="W41" s="544" t="s">
        <v>444</v>
      </c>
      <c r="X41" s="545" t="s">
        <v>445</v>
      </c>
      <c r="Y41" s="546">
        <v>0.18</v>
      </c>
      <c r="Z41" s="373">
        <v>7520</v>
      </c>
      <c r="AA41" s="515">
        <v>2.7000000000000001E-3</v>
      </c>
      <c r="AB41" s="547" t="s">
        <v>443</v>
      </c>
      <c r="AC41" s="548">
        <v>0.40899999999999997</v>
      </c>
    </row>
    <row r="42" spans="1:29" ht="16.5" customHeight="1" x14ac:dyDescent="0.2">
      <c r="A42" s="770" t="s">
        <v>454</v>
      </c>
      <c r="B42" s="619"/>
      <c r="C42" s="620" t="s">
        <v>455</v>
      </c>
      <c r="D42" s="621" t="s">
        <v>463</v>
      </c>
      <c r="E42" s="622" t="s">
        <v>459</v>
      </c>
      <c r="F42" s="539">
        <v>7.0000000000000007E-2</v>
      </c>
      <c r="G42" s="623">
        <v>7533</v>
      </c>
      <c r="H42" s="624">
        <v>7.0000000000000001E-3</v>
      </c>
      <c r="I42" s="520"/>
      <c r="J42" s="521"/>
      <c r="K42" s="622"/>
      <c r="L42" s="539"/>
      <c r="M42" s="625"/>
      <c r="N42" s="626"/>
      <c r="O42" s="627"/>
      <c r="P42" s="628"/>
      <c r="Q42" s="625"/>
      <c r="R42" s="629"/>
      <c r="T42" s="630"/>
      <c r="U42" s="631"/>
      <c r="W42" s="632"/>
      <c r="X42" s="538"/>
      <c r="Y42" s="624"/>
      <c r="AA42" s="633"/>
      <c r="AB42" s="623"/>
      <c r="AC42" s="634"/>
    </row>
    <row r="43" spans="1:29" ht="16.5" customHeight="1" x14ac:dyDescent="0.2">
      <c r="A43" s="771"/>
      <c r="B43" s="619"/>
      <c r="C43" s="620" t="s">
        <v>456</v>
      </c>
      <c r="D43" s="621" t="s">
        <v>464</v>
      </c>
      <c r="E43" s="622" t="s">
        <v>460</v>
      </c>
      <c r="F43" s="539">
        <v>7.0000000000000007E-2</v>
      </c>
      <c r="G43" s="623">
        <v>7535</v>
      </c>
      <c r="H43" s="624">
        <v>7.0000000000000001E-3</v>
      </c>
      <c r="I43" s="520"/>
      <c r="J43" s="521"/>
      <c r="K43" s="622"/>
      <c r="L43" s="539"/>
      <c r="M43" s="625"/>
      <c r="N43" s="626"/>
      <c r="O43" s="627"/>
      <c r="P43" s="628"/>
      <c r="Q43" s="625"/>
      <c r="R43" s="629"/>
      <c r="T43" s="630"/>
      <c r="U43" s="631"/>
      <c r="W43" s="632"/>
      <c r="X43" s="538"/>
      <c r="Y43" s="624"/>
      <c r="AA43" s="633"/>
      <c r="AB43" s="623"/>
      <c r="AC43" s="634"/>
    </row>
    <row r="44" spans="1:29" ht="16.5" customHeight="1" x14ac:dyDescent="0.2">
      <c r="A44" s="771"/>
      <c r="B44" s="619"/>
      <c r="C44" s="620" t="s">
        <v>457</v>
      </c>
      <c r="D44" s="621" t="s">
        <v>465</v>
      </c>
      <c r="E44" s="622" t="s">
        <v>461</v>
      </c>
      <c r="F44" s="539">
        <v>7.0000000000000007E-2</v>
      </c>
      <c r="G44" s="623">
        <v>7537</v>
      </c>
      <c r="H44" s="624">
        <v>7.0000000000000001E-3</v>
      </c>
      <c r="I44" s="520"/>
      <c r="J44" s="521"/>
      <c r="K44" s="622"/>
      <c r="L44" s="539"/>
      <c r="M44" s="625"/>
      <c r="N44" s="626"/>
      <c r="O44" s="627"/>
      <c r="P44" s="628"/>
      <c r="Q44" s="625"/>
      <c r="R44" s="629"/>
      <c r="T44" s="630"/>
      <c r="U44" s="631"/>
      <c r="W44" s="632"/>
      <c r="X44" s="538"/>
      <c r="Y44" s="624"/>
      <c r="AA44" s="633"/>
      <c r="AB44" s="623"/>
      <c r="AC44" s="634"/>
    </row>
    <row r="45" spans="1:29" ht="16.5" customHeight="1" thickBot="1" x14ac:dyDescent="0.25">
      <c r="A45" s="771"/>
      <c r="B45" s="619"/>
      <c r="C45" s="620" t="s">
        <v>458</v>
      </c>
      <c r="D45" s="621" t="s">
        <v>466</v>
      </c>
      <c r="E45" s="622" t="s">
        <v>462</v>
      </c>
      <c r="F45" s="539">
        <v>7.0000000000000007E-2</v>
      </c>
      <c r="G45" s="623">
        <v>7539</v>
      </c>
      <c r="H45" s="624">
        <v>7.0000000000000001E-3</v>
      </c>
      <c r="I45" s="520"/>
      <c r="J45" s="521"/>
      <c r="K45" s="622"/>
      <c r="L45" s="539"/>
      <c r="M45" s="625"/>
      <c r="N45" s="626"/>
      <c r="O45" s="627"/>
      <c r="P45" s="628"/>
      <c r="Q45" s="625"/>
      <c r="R45" s="629"/>
      <c r="T45" s="630"/>
      <c r="U45" s="631"/>
      <c r="W45" s="632"/>
      <c r="X45" s="538"/>
      <c r="Y45" s="624"/>
      <c r="AA45" s="633"/>
      <c r="AB45" s="623"/>
      <c r="AC45" s="634"/>
    </row>
    <row r="46" spans="1:29" ht="20.25" customHeight="1" x14ac:dyDescent="0.2">
      <c r="A46" s="768" t="s">
        <v>446</v>
      </c>
      <c r="B46" s="549"/>
      <c r="C46" s="572">
        <v>9</v>
      </c>
      <c r="D46" s="550" t="s">
        <v>17</v>
      </c>
      <c r="E46" s="551"/>
      <c r="F46" s="552"/>
      <c r="G46" s="553"/>
      <c r="H46" s="553"/>
      <c r="I46" s="554"/>
      <c r="J46" s="552"/>
      <c r="K46" s="551"/>
      <c r="L46" s="552"/>
      <c r="M46" s="555"/>
      <c r="N46" s="395"/>
      <c r="O46" s="556"/>
      <c r="P46" s="395"/>
      <c r="Q46" s="394"/>
      <c r="R46" s="399"/>
      <c r="T46" s="367"/>
      <c r="U46" s="463"/>
      <c r="V46" s="442"/>
      <c r="W46" s="367"/>
      <c r="X46" s="557"/>
      <c r="Y46" s="449"/>
      <c r="Z46" s="368"/>
      <c r="AA46" s="558"/>
      <c r="AB46" s="368"/>
      <c r="AC46" s="371"/>
    </row>
    <row r="47" spans="1:29" ht="20.25" customHeight="1" x14ac:dyDescent="0.2">
      <c r="A47" s="768"/>
      <c r="B47" s="559"/>
      <c r="C47" s="578" t="s">
        <v>65</v>
      </c>
      <c r="D47" s="560" t="s">
        <v>447</v>
      </c>
      <c r="E47" s="462"/>
      <c r="F47" s="457"/>
      <c r="G47" s="455"/>
      <c r="H47" s="455"/>
      <c r="I47" s="456"/>
      <c r="J47" s="457"/>
      <c r="K47" s="454">
        <v>7810</v>
      </c>
      <c r="L47" s="410">
        <v>0.05</v>
      </c>
      <c r="M47" s="411"/>
      <c r="N47" s="407"/>
      <c r="O47" s="561"/>
      <c r="P47" s="407"/>
      <c r="Q47" s="406"/>
      <c r="R47" s="415"/>
      <c r="T47" s="443"/>
      <c r="U47" s="463"/>
      <c r="V47" s="442"/>
      <c r="W47" s="443"/>
      <c r="X47" s="562"/>
      <c r="Y47" s="455"/>
      <c r="Z47" s="420"/>
      <c r="AA47" s="563"/>
      <c r="AB47" s="420"/>
      <c r="AC47" s="421"/>
    </row>
    <row r="48" spans="1:29" ht="20.25" customHeight="1" thickBot="1" x14ac:dyDescent="0.25">
      <c r="A48" s="769"/>
      <c r="B48" s="564"/>
      <c r="C48" s="580" t="s">
        <v>66</v>
      </c>
      <c r="D48" s="565" t="s">
        <v>448</v>
      </c>
      <c r="E48" s="465">
        <v>7807</v>
      </c>
      <c r="F48" s="379">
        <v>2.6599999999999999E-2</v>
      </c>
      <c r="G48" s="566"/>
      <c r="H48" s="566"/>
      <c r="I48" s="467"/>
      <c r="J48" s="468"/>
      <c r="K48" s="465">
        <v>7808</v>
      </c>
      <c r="L48" s="379">
        <v>2.6599999999999999E-2</v>
      </c>
      <c r="M48" s="425"/>
      <c r="N48" s="424"/>
      <c r="O48" s="567"/>
      <c r="P48" s="424"/>
      <c r="Q48" s="384"/>
      <c r="R48" s="385"/>
      <c r="T48" s="388"/>
      <c r="U48" s="568"/>
      <c r="V48" s="442"/>
      <c r="W48" s="388"/>
      <c r="X48" s="569"/>
      <c r="Y48" s="466"/>
      <c r="Z48" s="389"/>
      <c r="AA48" s="570"/>
      <c r="AB48" s="389"/>
      <c r="AC48" s="392"/>
    </row>
    <row r="50" spans="1:28" x14ac:dyDescent="0.2">
      <c r="A50" s="337" t="s">
        <v>449</v>
      </c>
    </row>
    <row r="51" spans="1:28" x14ac:dyDescent="0.2">
      <c r="A51" s="337" t="s">
        <v>450</v>
      </c>
    </row>
    <row r="52" spans="1:28" x14ac:dyDescent="0.2">
      <c r="A52" s="337" t="s">
        <v>451</v>
      </c>
    </row>
    <row r="54" spans="1:28" x14ac:dyDescent="0.2">
      <c r="A54" s="337" t="s">
        <v>452</v>
      </c>
    </row>
    <row r="55" spans="1:28" ht="12.75" thickBot="1" x14ac:dyDescent="0.25"/>
    <row r="56" spans="1:28" ht="12.75" thickBot="1" x14ac:dyDescent="0.25">
      <c r="AB56" s="571"/>
    </row>
  </sheetData>
  <sheetProtection algorithmName="SHA-512" hashValue="wHd8q291USEeXVVGvSc+Q+J2ye0HYHGkq9q44Mja+cHhpHJtkHWjSeE1xcqe9bhaQtalljNzJRZccBtoj4fRhg==" saltValue="hJZR63B4I+HT1gpQZBRMBg==" spinCount="100000" sheet="1" objects="1" scenarios="1"/>
  <mergeCells count="29">
    <mergeCell ref="A46:A48"/>
    <mergeCell ref="A42:A45"/>
    <mergeCell ref="A9:A12"/>
    <mergeCell ref="A13:A15"/>
    <mergeCell ref="A16:A23"/>
    <mergeCell ref="A24:A29"/>
    <mergeCell ref="A30:A41"/>
    <mergeCell ref="B30:B35"/>
    <mergeCell ref="B36:B41"/>
    <mergeCell ref="Q5:R5"/>
    <mergeCell ref="T5:U5"/>
    <mergeCell ref="W5:Y5"/>
    <mergeCell ref="Z5:AA5"/>
    <mergeCell ref="AB5:AC5"/>
    <mergeCell ref="A7:A8"/>
    <mergeCell ref="E5:F5"/>
    <mergeCell ref="G5:H5"/>
    <mergeCell ref="I5:J5"/>
    <mergeCell ref="K5:L5"/>
    <mergeCell ref="M5:N5"/>
    <mergeCell ref="O5:P5"/>
    <mergeCell ref="A3:D3"/>
    <mergeCell ref="E3:R3"/>
    <mergeCell ref="T3:U3"/>
    <mergeCell ref="W3:AC3"/>
    <mergeCell ref="E4:J4"/>
    <mergeCell ref="K4:R4"/>
    <mergeCell ref="T4:U4"/>
    <mergeCell ref="W4:AC4"/>
  </mergeCells>
  <printOptions horizontalCentered="1" verticalCentered="1"/>
  <pageMargins left="0.25" right="0.25" top="0.5" bottom="0.5" header="0.3" footer="0.3"/>
  <pageSetup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V42"/>
  <sheetViews>
    <sheetView zoomScale="96" zoomScaleNormal="96" workbookViewId="0">
      <pane xSplit="1" ySplit="1" topLeftCell="B7" activePane="bottomRight" state="frozen"/>
      <selection activeCell="G34" sqref="G34"/>
      <selection pane="topRight" activeCell="G34" sqref="G34"/>
      <selection pane="bottomLeft" activeCell="G34" sqref="G34"/>
      <selection pane="bottomRight" activeCell="B30" sqref="B30"/>
    </sheetView>
  </sheetViews>
  <sheetFormatPr defaultRowHeight="15" x14ac:dyDescent="0.25"/>
  <cols>
    <col min="1" max="1" width="49" customWidth="1"/>
    <col min="2" max="2" width="18.42578125" customWidth="1"/>
    <col min="3" max="13" width="11.7109375" customWidth="1"/>
    <col min="14" max="14" width="11.28515625" customWidth="1"/>
    <col min="15" max="17" width="9.7109375" bestFit="1" customWidth="1"/>
    <col min="18" max="18" width="9.28515625" bestFit="1" customWidth="1"/>
    <col min="19" max="19" width="9.28515625" customWidth="1"/>
    <col min="20" max="20" width="9.28515625" bestFit="1" customWidth="1"/>
    <col min="21" max="21" width="9.28515625" customWidth="1"/>
    <col min="22" max="22" width="9.7109375" bestFit="1" customWidth="1"/>
  </cols>
  <sheetData>
    <row r="1" spans="1:22" ht="23.25" x14ac:dyDescent="0.35">
      <c r="A1" s="127" t="s">
        <v>191</v>
      </c>
      <c r="B1" s="127">
        <v>2003</v>
      </c>
      <c r="C1" s="128">
        <v>2004</v>
      </c>
      <c r="D1" s="128">
        <v>2005</v>
      </c>
      <c r="E1" s="128">
        <v>2006</v>
      </c>
      <c r="F1" s="128">
        <v>2007</v>
      </c>
      <c r="G1" s="128">
        <v>2008</v>
      </c>
      <c r="H1" s="128">
        <v>2009</v>
      </c>
      <c r="I1" s="128">
        <v>2010</v>
      </c>
      <c r="J1" s="128">
        <v>2011</v>
      </c>
      <c r="K1" s="128">
        <v>2012</v>
      </c>
      <c r="L1" s="128">
        <v>2013</v>
      </c>
      <c r="M1" s="128">
        <v>2014</v>
      </c>
      <c r="N1" s="128">
        <v>2015</v>
      </c>
      <c r="O1" s="128">
        <v>2016</v>
      </c>
      <c r="P1" s="128">
        <v>2017</v>
      </c>
      <c r="Q1" s="128">
        <v>2018</v>
      </c>
      <c r="R1" s="636">
        <v>2019</v>
      </c>
      <c r="S1" s="636">
        <v>2020</v>
      </c>
      <c r="T1" s="636">
        <v>2021</v>
      </c>
      <c r="U1" s="697">
        <v>2022</v>
      </c>
      <c r="V1" s="697">
        <v>2023</v>
      </c>
    </row>
    <row r="2" spans="1:22" x14ac:dyDescent="0.25">
      <c r="A2" s="111" t="s">
        <v>171</v>
      </c>
      <c r="B2" s="637">
        <v>182.69</v>
      </c>
      <c r="C2" s="116">
        <v>186.54</v>
      </c>
      <c r="D2" s="116">
        <v>192.31</v>
      </c>
      <c r="E2" s="116">
        <v>198.08</v>
      </c>
      <c r="F2" s="116">
        <v>205.77</v>
      </c>
      <c r="G2" s="116">
        <v>209.62</v>
      </c>
      <c r="H2" s="116">
        <v>219.23</v>
      </c>
      <c r="I2" s="116">
        <v>219.23</v>
      </c>
      <c r="J2" s="116">
        <v>223.08</v>
      </c>
      <c r="K2" s="116">
        <v>228.85</v>
      </c>
      <c r="L2" s="116">
        <v>234.62</v>
      </c>
      <c r="M2" s="116">
        <v>234.62</v>
      </c>
      <c r="N2" s="116">
        <v>242.31</v>
      </c>
      <c r="O2" s="116">
        <v>242.31</v>
      </c>
      <c r="P2" s="116">
        <v>244.23</v>
      </c>
      <c r="Q2" s="116">
        <v>250</v>
      </c>
      <c r="R2" s="129">
        <v>469.23</v>
      </c>
      <c r="S2" s="129">
        <v>476.92</v>
      </c>
      <c r="T2" s="129">
        <v>482.69</v>
      </c>
      <c r="U2" s="116">
        <v>498.08</v>
      </c>
      <c r="V2" s="116">
        <v>532.69000000000005</v>
      </c>
    </row>
    <row r="3" spans="1:22" x14ac:dyDescent="0.25">
      <c r="A3" s="111" t="s">
        <v>172</v>
      </c>
      <c r="B3" s="637">
        <v>117.31</v>
      </c>
      <c r="C3" s="116">
        <v>119.23</v>
      </c>
      <c r="D3" s="116">
        <v>123.08</v>
      </c>
      <c r="E3" s="116">
        <v>126.92</v>
      </c>
      <c r="F3" s="116">
        <v>130.77000000000001</v>
      </c>
      <c r="G3" s="116">
        <v>134.62</v>
      </c>
      <c r="H3" s="116">
        <v>140.38</v>
      </c>
      <c r="I3" s="116">
        <v>140.38</v>
      </c>
      <c r="J3" s="116">
        <v>142.30000000000001</v>
      </c>
      <c r="K3" s="116">
        <v>146.15</v>
      </c>
      <c r="L3" s="116">
        <v>150</v>
      </c>
      <c r="M3" s="116">
        <v>150</v>
      </c>
      <c r="N3" s="116">
        <v>153.84</v>
      </c>
      <c r="O3" s="116">
        <v>155.77000000000001</v>
      </c>
      <c r="P3" s="116">
        <v>155.77000000000001</v>
      </c>
      <c r="Q3" s="116">
        <v>159.62</v>
      </c>
      <c r="R3" s="129">
        <v>161.54</v>
      </c>
      <c r="S3" s="129">
        <v>165.38</v>
      </c>
      <c r="T3" s="129">
        <v>165.38</v>
      </c>
      <c r="U3" s="116">
        <v>169.23</v>
      </c>
      <c r="V3" s="116">
        <v>180.77</v>
      </c>
    </row>
    <row r="4" spans="1:22" x14ac:dyDescent="0.25">
      <c r="A4" s="111" t="s">
        <v>173</v>
      </c>
      <c r="B4" s="637">
        <v>44.23</v>
      </c>
      <c r="C4" s="116">
        <v>46.15</v>
      </c>
      <c r="D4" s="116">
        <v>48.08</v>
      </c>
      <c r="E4" s="116">
        <v>48.08</v>
      </c>
      <c r="F4" s="116">
        <v>50</v>
      </c>
      <c r="G4" s="116">
        <v>51.92</v>
      </c>
      <c r="H4" s="116">
        <v>53.85</v>
      </c>
      <c r="I4" s="116">
        <v>53.85</v>
      </c>
      <c r="J4" s="116">
        <v>55.77</v>
      </c>
      <c r="K4" s="116">
        <v>55.77</v>
      </c>
      <c r="L4" s="116">
        <v>57.69</v>
      </c>
      <c r="M4" s="116">
        <v>57.69</v>
      </c>
      <c r="N4" s="116">
        <v>59.62</v>
      </c>
      <c r="O4" s="116">
        <v>59.62</v>
      </c>
      <c r="P4" s="116">
        <v>59.62</v>
      </c>
      <c r="Q4" s="116">
        <v>61.54</v>
      </c>
      <c r="R4" s="129">
        <v>63.46</v>
      </c>
      <c r="S4" s="129">
        <v>63.46</v>
      </c>
      <c r="T4" s="129">
        <v>65.38</v>
      </c>
      <c r="U4" s="116">
        <v>67.31</v>
      </c>
      <c r="V4" s="116">
        <v>71.150000000000006</v>
      </c>
    </row>
    <row r="5" spans="1:22" x14ac:dyDescent="0.25">
      <c r="A5" s="111" t="s">
        <v>174</v>
      </c>
      <c r="B5" s="637">
        <v>88.46</v>
      </c>
      <c r="C5" s="116">
        <v>92.31</v>
      </c>
      <c r="D5" s="116">
        <v>96.15</v>
      </c>
      <c r="E5" s="116">
        <v>96.15</v>
      </c>
      <c r="F5" s="116">
        <v>100</v>
      </c>
      <c r="G5" s="116">
        <v>103.84</v>
      </c>
      <c r="H5" s="116">
        <v>107.69</v>
      </c>
      <c r="I5" s="116">
        <v>107.69</v>
      </c>
      <c r="J5" s="116">
        <v>111.54</v>
      </c>
      <c r="K5" s="116">
        <v>111.54</v>
      </c>
      <c r="L5" s="116">
        <v>115.38</v>
      </c>
      <c r="M5" s="116">
        <v>115.38</v>
      </c>
      <c r="N5" s="116">
        <v>119.23</v>
      </c>
      <c r="O5" s="116">
        <v>119.23</v>
      </c>
      <c r="P5" s="116">
        <v>119.23</v>
      </c>
      <c r="Q5" s="116">
        <v>123.08</v>
      </c>
      <c r="R5" s="129">
        <v>126.92</v>
      </c>
      <c r="S5" s="129">
        <v>126.92</v>
      </c>
      <c r="T5" s="129">
        <v>130.77000000000001</v>
      </c>
      <c r="U5" s="116">
        <v>134.62</v>
      </c>
      <c r="V5" s="116">
        <v>142.31</v>
      </c>
    </row>
    <row r="6" spans="1:22" x14ac:dyDescent="0.25">
      <c r="A6" s="111" t="s">
        <v>267</v>
      </c>
      <c r="B6" s="637">
        <v>88.46</v>
      </c>
      <c r="C6" s="116">
        <v>92.31</v>
      </c>
      <c r="D6" s="116">
        <v>96.15</v>
      </c>
      <c r="E6" s="116">
        <v>96.15</v>
      </c>
      <c r="F6" s="116">
        <v>100</v>
      </c>
      <c r="G6" s="116">
        <v>103.84</v>
      </c>
      <c r="H6" s="116">
        <v>107.69</v>
      </c>
      <c r="I6" s="116">
        <v>107.69</v>
      </c>
      <c r="J6" s="116">
        <v>111.54</v>
      </c>
      <c r="K6" s="116">
        <v>111.54</v>
      </c>
      <c r="L6" s="116">
        <v>115.38</v>
      </c>
      <c r="M6" s="116">
        <v>115.38</v>
      </c>
      <c r="N6" s="116">
        <v>119.23</v>
      </c>
      <c r="O6" s="116">
        <v>119.23</v>
      </c>
      <c r="P6" s="116">
        <v>119.23</v>
      </c>
      <c r="Q6" s="116">
        <v>123.08</v>
      </c>
      <c r="R6" s="129">
        <v>126.92</v>
      </c>
      <c r="S6" s="129">
        <v>126.92</v>
      </c>
      <c r="T6" s="129">
        <v>130.77000000000001</v>
      </c>
      <c r="U6" s="116">
        <v>134.62</v>
      </c>
      <c r="V6" s="116">
        <v>142.31</v>
      </c>
    </row>
    <row r="7" spans="1:22" x14ac:dyDescent="0.25">
      <c r="A7" s="112" t="s">
        <v>268</v>
      </c>
      <c r="B7" s="638">
        <v>88.46</v>
      </c>
      <c r="C7" s="117">
        <v>92.31</v>
      </c>
      <c r="D7" s="117">
        <v>96.15</v>
      </c>
      <c r="E7" s="117">
        <v>96.15</v>
      </c>
      <c r="F7" s="117">
        <v>100</v>
      </c>
      <c r="G7" s="117">
        <v>103.84</v>
      </c>
      <c r="H7" s="117">
        <v>107.69</v>
      </c>
      <c r="I7" s="117">
        <v>107.69</v>
      </c>
      <c r="J7" s="117">
        <v>111.54</v>
      </c>
      <c r="K7" s="117">
        <v>111.54</v>
      </c>
      <c r="L7" s="117">
        <v>115.38</v>
      </c>
      <c r="M7" s="117">
        <v>115.38</v>
      </c>
      <c r="N7" s="117">
        <v>119.23</v>
      </c>
      <c r="O7" s="117">
        <v>119.23</v>
      </c>
      <c r="P7" s="117">
        <v>119.23</v>
      </c>
      <c r="Q7" s="117">
        <v>123.08</v>
      </c>
      <c r="R7" s="130">
        <v>126.92</v>
      </c>
      <c r="S7" s="130">
        <v>126.92</v>
      </c>
      <c r="T7" s="130">
        <v>130.77000000000001</v>
      </c>
      <c r="U7" s="116">
        <v>134.62</v>
      </c>
      <c r="V7" s="116">
        <v>142.31</v>
      </c>
    </row>
    <row r="8" spans="1:22" x14ac:dyDescent="0.25">
      <c r="A8" s="111" t="s">
        <v>175</v>
      </c>
      <c r="B8" s="637">
        <v>269.23</v>
      </c>
      <c r="C8" s="116">
        <v>275</v>
      </c>
      <c r="D8" s="116">
        <v>280.77</v>
      </c>
      <c r="E8" s="116">
        <v>290.39</v>
      </c>
      <c r="F8" s="116">
        <v>301.92</v>
      </c>
      <c r="G8" s="116">
        <v>307.69</v>
      </c>
      <c r="H8" s="116">
        <v>321.14999999999998</v>
      </c>
      <c r="I8" s="116">
        <v>323.08</v>
      </c>
      <c r="J8" s="116">
        <v>326.93</v>
      </c>
      <c r="K8" s="116">
        <v>334.62</v>
      </c>
      <c r="L8" s="116">
        <v>344.23</v>
      </c>
      <c r="M8" s="116">
        <v>344.23</v>
      </c>
      <c r="N8" s="116">
        <v>355.78</v>
      </c>
      <c r="O8" s="116">
        <v>357.69</v>
      </c>
      <c r="P8" s="116">
        <v>359.61</v>
      </c>
      <c r="Q8" s="116">
        <v>367.3</v>
      </c>
      <c r="R8" s="129">
        <v>705.77</v>
      </c>
      <c r="S8" s="129">
        <v>717.31</v>
      </c>
      <c r="T8" s="129">
        <v>723.08</v>
      </c>
      <c r="U8" s="116">
        <v>746.15</v>
      </c>
      <c r="V8" s="116">
        <v>800</v>
      </c>
    </row>
    <row r="9" spans="1:22" x14ac:dyDescent="0.25">
      <c r="A9" s="111" t="s">
        <v>176</v>
      </c>
      <c r="B9" s="639">
        <f t="shared" ref="B9:C13" si="0">B3</f>
        <v>117.31</v>
      </c>
      <c r="C9" s="118">
        <f t="shared" si="0"/>
        <v>119.23</v>
      </c>
      <c r="D9" s="118">
        <f t="shared" ref="D9:K9" si="1">D3</f>
        <v>123.08</v>
      </c>
      <c r="E9" s="118">
        <f t="shared" si="1"/>
        <v>126.92</v>
      </c>
      <c r="F9" s="118">
        <f t="shared" si="1"/>
        <v>130.77000000000001</v>
      </c>
      <c r="G9" s="118">
        <f t="shared" si="1"/>
        <v>134.62</v>
      </c>
      <c r="H9" s="118">
        <f t="shared" si="1"/>
        <v>140.38</v>
      </c>
      <c r="I9" s="118">
        <f t="shared" si="1"/>
        <v>140.38</v>
      </c>
      <c r="J9" s="118">
        <f t="shared" si="1"/>
        <v>142.30000000000001</v>
      </c>
      <c r="K9" s="118">
        <f t="shared" si="1"/>
        <v>146.15</v>
      </c>
      <c r="L9" s="118">
        <f t="shared" ref="L9:M13" si="2">L3</f>
        <v>150</v>
      </c>
      <c r="M9" s="118">
        <f t="shared" si="2"/>
        <v>150</v>
      </c>
      <c r="N9" s="118">
        <f t="shared" ref="N9:O9" si="3">N3</f>
        <v>153.84</v>
      </c>
      <c r="O9" s="118">
        <f t="shared" si="3"/>
        <v>155.77000000000001</v>
      </c>
      <c r="P9" s="118">
        <f t="shared" ref="P9" si="4">P3</f>
        <v>155.77000000000001</v>
      </c>
      <c r="Q9" s="118">
        <f t="shared" ref="Q9:V9" si="5">Q3</f>
        <v>159.62</v>
      </c>
      <c r="R9" s="131">
        <f t="shared" si="5"/>
        <v>161.54</v>
      </c>
      <c r="S9" s="131">
        <f t="shared" si="5"/>
        <v>165.38</v>
      </c>
      <c r="T9" s="131">
        <f t="shared" si="5"/>
        <v>165.38</v>
      </c>
      <c r="U9" s="131">
        <f t="shared" si="5"/>
        <v>169.23</v>
      </c>
      <c r="V9" s="131">
        <f t="shared" si="5"/>
        <v>180.77</v>
      </c>
    </row>
    <row r="10" spans="1:22" x14ac:dyDescent="0.25">
      <c r="A10" s="111" t="s">
        <v>177</v>
      </c>
      <c r="B10" s="639">
        <f t="shared" si="0"/>
        <v>44.23</v>
      </c>
      <c r="C10" s="118">
        <f t="shared" si="0"/>
        <v>46.15</v>
      </c>
      <c r="D10" s="118">
        <f t="shared" ref="D10:K10" si="6">D4</f>
        <v>48.08</v>
      </c>
      <c r="E10" s="118">
        <f t="shared" si="6"/>
        <v>48.08</v>
      </c>
      <c r="F10" s="118">
        <f t="shared" si="6"/>
        <v>50</v>
      </c>
      <c r="G10" s="118">
        <f t="shared" si="6"/>
        <v>51.92</v>
      </c>
      <c r="H10" s="118">
        <f t="shared" si="6"/>
        <v>53.85</v>
      </c>
      <c r="I10" s="118">
        <f t="shared" si="6"/>
        <v>53.85</v>
      </c>
      <c r="J10" s="118">
        <f t="shared" si="6"/>
        <v>55.77</v>
      </c>
      <c r="K10" s="118">
        <f t="shared" si="6"/>
        <v>55.77</v>
      </c>
      <c r="L10" s="118">
        <f t="shared" si="2"/>
        <v>57.69</v>
      </c>
      <c r="M10" s="118">
        <f t="shared" si="2"/>
        <v>57.69</v>
      </c>
      <c r="N10" s="118">
        <f t="shared" ref="N10:O10" si="7">N4</f>
        <v>59.62</v>
      </c>
      <c r="O10" s="118">
        <f t="shared" si="7"/>
        <v>59.62</v>
      </c>
      <c r="P10" s="118">
        <f t="shared" ref="P10:Q10" si="8">P4</f>
        <v>59.62</v>
      </c>
      <c r="Q10" s="118">
        <f t="shared" si="8"/>
        <v>61.54</v>
      </c>
      <c r="R10" s="131">
        <f t="shared" ref="R10:V10" si="9">R4</f>
        <v>63.46</v>
      </c>
      <c r="S10" s="131">
        <f t="shared" si="9"/>
        <v>63.46</v>
      </c>
      <c r="T10" s="131">
        <f t="shared" si="9"/>
        <v>65.38</v>
      </c>
      <c r="U10" s="131">
        <f>U4</f>
        <v>67.31</v>
      </c>
      <c r="V10" s="131">
        <f t="shared" si="9"/>
        <v>71.150000000000006</v>
      </c>
    </row>
    <row r="11" spans="1:22" x14ac:dyDescent="0.25">
      <c r="A11" s="111" t="s">
        <v>178</v>
      </c>
      <c r="B11" s="639">
        <f t="shared" si="0"/>
        <v>88.46</v>
      </c>
      <c r="C11" s="118">
        <f t="shared" si="0"/>
        <v>92.31</v>
      </c>
      <c r="D11" s="118">
        <f t="shared" ref="D11:K13" si="10">D5</f>
        <v>96.15</v>
      </c>
      <c r="E11" s="118">
        <f t="shared" si="10"/>
        <v>96.15</v>
      </c>
      <c r="F11" s="118">
        <f t="shared" si="10"/>
        <v>100</v>
      </c>
      <c r="G11" s="118">
        <f t="shared" si="10"/>
        <v>103.84</v>
      </c>
      <c r="H11" s="118">
        <f t="shared" si="10"/>
        <v>107.69</v>
      </c>
      <c r="I11" s="118">
        <f t="shared" si="10"/>
        <v>107.69</v>
      </c>
      <c r="J11" s="118">
        <f t="shared" si="10"/>
        <v>111.54</v>
      </c>
      <c r="K11" s="118">
        <f t="shared" si="10"/>
        <v>111.54</v>
      </c>
      <c r="L11" s="118">
        <f t="shared" si="2"/>
        <v>115.38</v>
      </c>
      <c r="M11" s="118">
        <f t="shared" si="2"/>
        <v>115.38</v>
      </c>
      <c r="N11" s="118">
        <f t="shared" ref="N11:O11" si="11">N5</f>
        <v>119.23</v>
      </c>
      <c r="O11" s="118">
        <f t="shared" si="11"/>
        <v>119.23</v>
      </c>
      <c r="P11" s="118">
        <f t="shared" ref="P11:Q11" si="12">P5</f>
        <v>119.23</v>
      </c>
      <c r="Q11" s="118">
        <f t="shared" si="12"/>
        <v>123.08</v>
      </c>
      <c r="R11" s="131">
        <f t="shared" ref="R11:V11" si="13">R5</f>
        <v>126.92</v>
      </c>
      <c r="S11" s="131">
        <f t="shared" si="13"/>
        <v>126.92</v>
      </c>
      <c r="T11" s="131">
        <f t="shared" si="13"/>
        <v>130.77000000000001</v>
      </c>
      <c r="U11" s="131">
        <f>U5</f>
        <v>134.62</v>
      </c>
      <c r="V11" s="131">
        <f t="shared" si="13"/>
        <v>142.31</v>
      </c>
    </row>
    <row r="12" spans="1:22" x14ac:dyDescent="0.25">
      <c r="A12" s="111" t="s">
        <v>269</v>
      </c>
      <c r="B12" s="639">
        <f t="shared" si="0"/>
        <v>88.46</v>
      </c>
      <c r="C12" s="118">
        <f t="shared" si="0"/>
        <v>92.31</v>
      </c>
      <c r="D12" s="118">
        <f t="shared" si="10"/>
        <v>96.15</v>
      </c>
      <c r="E12" s="118">
        <f t="shared" si="10"/>
        <v>96.15</v>
      </c>
      <c r="F12" s="118">
        <f t="shared" si="10"/>
        <v>100</v>
      </c>
      <c r="G12" s="118">
        <f t="shared" si="10"/>
        <v>103.84</v>
      </c>
      <c r="H12" s="118">
        <f t="shared" si="10"/>
        <v>107.69</v>
      </c>
      <c r="I12" s="118">
        <f t="shared" si="10"/>
        <v>107.69</v>
      </c>
      <c r="J12" s="118">
        <f t="shared" si="10"/>
        <v>111.54</v>
      </c>
      <c r="K12" s="118">
        <f t="shared" si="10"/>
        <v>111.54</v>
      </c>
      <c r="L12" s="118">
        <f t="shared" si="2"/>
        <v>115.38</v>
      </c>
      <c r="M12" s="118">
        <f t="shared" si="2"/>
        <v>115.38</v>
      </c>
      <c r="N12" s="118">
        <f t="shared" ref="N12:O12" si="14">N6</f>
        <v>119.23</v>
      </c>
      <c r="O12" s="118">
        <f t="shared" si="14"/>
        <v>119.23</v>
      </c>
      <c r="P12" s="118">
        <f t="shared" ref="P12:Q12" si="15">P6</f>
        <v>119.23</v>
      </c>
      <c r="Q12" s="118">
        <f t="shared" si="15"/>
        <v>123.08</v>
      </c>
      <c r="R12" s="131">
        <f t="shared" ref="R12:V12" si="16">R6</f>
        <v>126.92</v>
      </c>
      <c r="S12" s="131">
        <f t="shared" si="16"/>
        <v>126.92</v>
      </c>
      <c r="T12" s="131">
        <f t="shared" si="16"/>
        <v>130.77000000000001</v>
      </c>
      <c r="U12" s="131">
        <f>U6</f>
        <v>134.62</v>
      </c>
      <c r="V12" s="131">
        <f t="shared" si="16"/>
        <v>142.31</v>
      </c>
    </row>
    <row r="13" spans="1:22" x14ac:dyDescent="0.25">
      <c r="A13" s="112" t="s">
        <v>270</v>
      </c>
      <c r="B13" s="640">
        <f t="shared" si="0"/>
        <v>88.46</v>
      </c>
      <c r="C13" s="119">
        <f t="shared" si="0"/>
        <v>92.31</v>
      </c>
      <c r="D13" s="119">
        <f t="shared" si="10"/>
        <v>96.15</v>
      </c>
      <c r="E13" s="119">
        <f t="shared" si="10"/>
        <v>96.15</v>
      </c>
      <c r="F13" s="119">
        <f t="shared" si="10"/>
        <v>100</v>
      </c>
      <c r="G13" s="119">
        <f t="shared" si="10"/>
        <v>103.84</v>
      </c>
      <c r="H13" s="119">
        <f t="shared" si="10"/>
        <v>107.69</v>
      </c>
      <c r="I13" s="119">
        <f t="shared" si="10"/>
        <v>107.69</v>
      </c>
      <c r="J13" s="119">
        <f t="shared" si="10"/>
        <v>111.54</v>
      </c>
      <c r="K13" s="119">
        <f t="shared" si="10"/>
        <v>111.54</v>
      </c>
      <c r="L13" s="119">
        <f t="shared" si="2"/>
        <v>115.38</v>
      </c>
      <c r="M13" s="119">
        <f t="shared" si="2"/>
        <v>115.38</v>
      </c>
      <c r="N13" s="119">
        <f t="shared" ref="N13:O13" si="17">N7</f>
        <v>119.23</v>
      </c>
      <c r="O13" s="119">
        <f t="shared" si="17"/>
        <v>119.23</v>
      </c>
      <c r="P13" s="119">
        <f t="shared" ref="P13:Q13" si="18">P7</f>
        <v>119.23</v>
      </c>
      <c r="Q13" s="119">
        <f t="shared" si="18"/>
        <v>123.08</v>
      </c>
      <c r="R13" s="132">
        <f t="shared" ref="R13:V13" si="19">R7</f>
        <v>126.92</v>
      </c>
      <c r="S13" s="132">
        <f t="shared" si="19"/>
        <v>126.92</v>
      </c>
      <c r="T13" s="132">
        <f t="shared" si="19"/>
        <v>130.77000000000001</v>
      </c>
      <c r="U13" s="132">
        <f>U7</f>
        <v>134.62</v>
      </c>
      <c r="V13" s="132">
        <f t="shared" si="19"/>
        <v>142.31</v>
      </c>
    </row>
    <row r="14" spans="1:22" x14ac:dyDescent="0.25">
      <c r="A14" s="111" t="s">
        <v>179</v>
      </c>
      <c r="B14" s="637">
        <v>305.77</v>
      </c>
      <c r="C14" s="116">
        <v>373.08</v>
      </c>
      <c r="D14" s="116">
        <v>384.62</v>
      </c>
      <c r="E14" s="116">
        <v>396.15</v>
      </c>
      <c r="F14" s="116">
        <v>411.54</v>
      </c>
      <c r="G14" s="116">
        <v>419.23</v>
      </c>
      <c r="H14" s="116">
        <v>438.46</v>
      </c>
      <c r="I14" s="116">
        <v>438.46</v>
      </c>
      <c r="J14" s="116">
        <v>446.16</v>
      </c>
      <c r="K14" s="116">
        <v>457.7</v>
      </c>
      <c r="L14" s="116">
        <v>469.23</v>
      </c>
      <c r="M14" s="116">
        <v>469.23</v>
      </c>
      <c r="N14" s="116">
        <v>484.62</v>
      </c>
      <c r="O14" s="116">
        <v>484.62</v>
      </c>
      <c r="P14" s="116">
        <v>488.46</v>
      </c>
      <c r="Q14" s="116">
        <v>500</v>
      </c>
      <c r="R14" s="129">
        <v>938.46</v>
      </c>
      <c r="S14" s="129">
        <v>953.85</v>
      </c>
      <c r="T14" s="129">
        <v>965.38</v>
      </c>
      <c r="U14" s="116">
        <v>996.15</v>
      </c>
      <c r="V14" s="116">
        <v>1065.3800000000001</v>
      </c>
    </row>
    <row r="15" spans="1:22" x14ac:dyDescent="0.25">
      <c r="A15" s="111" t="s">
        <v>180</v>
      </c>
      <c r="B15" s="639">
        <f>B3</f>
        <v>117.31</v>
      </c>
      <c r="C15" s="118">
        <f>C3</f>
        <v>119.23</v>
      </c>
      <c r="D15" s="118">
        <f t="shared" ref="D15:K15" si="20">D3</f>
        <v>123.08</v>
      </c>
      <c r="E15" s="118">
        <f t="shared" si="20"/>
        <v>126.92</v>
      </c>
      <c r="F15" s="118">
        <f t="shared" si="20"/>
        <v>130.77000000000001</v>
      </c>
      <c r="G15" s="118">
        <f t="shared" si="20"/>
        <v>134.62</v>
      </c>
      <c r="H15" s="118">
        <f t="shared" si="20"/>
        <v>140.38</v>
      </c>
      <c r="I15" s="118">
        <f t="shared" si="20"/>
        <v>140.38</v>
      </c>
      <c r="J15" s="118">
        <f t="shared" si="20"/>
        <v>142.30000000000001</v>
      </c>
      <c r="K15" s="118">
        <f t="shared" si="20"/>
        <v>146.15</v>
      </c>
      <c r="L15" s="118">
        <f t="shared" ref="L15:Q15" si="21">L3</f>
        <v>150</v>
      </c>
      <c r="M15" s="118">
        <f t="shared" si="21"/>
        <v>150</v>
      </c>
      <c r="N15" s="118">
        <f t="shared" si="21"/>
        <v>153.84</v>
      </c>
      <c r="O15" s="118">
        <f t="shared" si="21"/>
        <v>155.77000000000001</v>
      </c>
      <c r="P15" s="118">
        <f t="shared" si="21"/>
        <v>155.77000000000001</v>
      </c>
      <c r="Q15" s="118">
        <f t="shared" si="21"/>
        <v>159.62</v>
      </c>
      <c r="R15" s="131">
        <f t="shared" ref="R15:V15" si="22">R3</f>
        <v>161.54</v>
      </c>
      <c r="S15" s="131">
        <f t="shared" si="22"/>
        <v>165.38</v>
      </c>
      <c r="T15" s="131">
        <f t="shared" si="22"/>
        <v>165.38</v>
      </c>
      <c r="U15" s="131">
        <f>U3</f>
        <v>169.23</v>
      </c>
      <c r="V15" s="131">
        <f t="shared" si="22"/>
        <v>180.77</v>
      </c>
    </row>
    <row r="16" spans="1:22" x14ac:dyDescent="0.25">
      <c r="A16" s="111" t="s">
        <v>181</v>
      </c>
      <c r="B16" s="637">
        <v>36.54</v>
      </c>
      <c r="C16" s="116">
        <v>36.54</v>
      </c>
      <c r="D16" s="116">
        <v>38.46</v>
      </c>
      <c r="E16" s="116">
        <v>38.46</v>
      </c>
      <c r="F16" s="116">
        <v>40.380000000000003</v>
      </c>
      <c r="G16" s="116">
        <v>40.380000000000003</v>
      </c>
      <c r="H16" s="116">
        <v>42.31</v>
      </c>
      <c r="I16" s="116">
        <v>42.31</v>
      </c>
      <c r="J16" s="116">
        <v>44.23</v>
      </c>
      <c r="K16" s="116">
        <v>44.23</v>
      </c>
      <c r="L16" s="116">
        <v>46.15</v>
      </c>
      <c r="M16" s="116">
        <v>46.15</v>
      </c>
      <c r="N16" s="116">
        <v>48.08</v>
      </c>
      <c r="O16" s="116">
        <v>48.08</v>
      </c>
      <c r="P16" s="116">
        <v>48.08</v>
      </c>
      <c r="Q16" s="116">
        <v>50</v>
      </c>
      <c r="R16" s="129">
        <v>50</v>
      </c>
      <c r="S16" s="129">
        <v>50</v>
      </c>
      <c r="T16" s="129">
        <v>51.92</v>
      </c>
      <c r="U16" s="116">
        <v>53.85</v>
      </c>
      <c r="V16" s="116">
        <v>57.69</v>
      </c>
    </row>
    <row r="17" spans="1:22" x14ac:dyDescent="0.25">
      <c r="A17" s="111" t="s">
        <v>182</v>
      </c>
      <c r="B17" s="637">
        <v>73.08</v>
      </c>
      <c r="C17" s="116">
        <v>73.08</v>
      </c>
      <c r="D17" s="116">
        <v>76.92</v>
      </c>
      <c r="E17" s="116">
        <v>76.92</v>
      </c>
      <c r="F17" s="116">
        <v>80.77</v>
      </c>
      <c r="G17" s="116">
        <v>80.77</v>
      </c>
      <c r="H17" s="116">
        <v>84.62</v>
      </c>
      <c r="I17" s="116">
        <v>84.62</v>
      </c>
      <c r="J17" s="116">
        <v>88.46</v>
      </c>
      <c r="K17" s="116">
        <v>88.46</v>
      </c>
      <c r="L17" s="116">
        <v>92.31</v>
      </c>
      <c r="M17" s="116">
        <v>92.31</v>
      </c>
      <c r="N17" s="116">
        <v>96.15</v>
      </c>
      <c r="O17" s="116">
        <v>96.15</v>
      </c>
      <c r="P17" s="116">
        <v>96.15</v>
      </c>
      <c r="Q17" s="116">
        <v>100</v>
      </c>
      <c r="R17" s="129">
        <v>100</v>
      </c>
      <c r="S17" s="129">
        <v>100</v>
      </c>
      <c r="T17" s="129">
        <v>103.85</v>
      </c>
      <c r="U17" s="116">
        <v>107.69</v>
      </c>
      <c r="V17" s="116">
        <v>115.38</v>
      </c>
    </row>
    <row r="18" spans="1:22" x14ac:dyDescent="0.25">
      <c r="A18" s="111" t="s">
        <v>187</v>
      </c>
      <c r="B18" s="637">
        <v>109.62</v>
      </c>
      <c r="C18" s="116">
        <v>109.62</v>
      </c>
      <c r="D18" s="116">
        <v>115.38</v>
      </c>
      <c r="E18" s="116">
        <v>115.38</v>
      </c>
      <c r="F18" s="116">
        <v>121.15</v>
      </c>
      <c r="G18" s="116">
        <v>121.15</v>
      </c>
      <c r="H18" s="116">
        <v>126.92</v>
      </c>
      <c r="I18" s="116">
        <v>126.92</v>
      </c>
      <c r="J18" s="116">
        <v>132.69</v>
      </c>
      <c r="K18" s="116">
        <v>132.69</v>
      </c>
      <c r="L18" s="116">
        <v>138.46</v>
      </c>
      <c r="M18" s="116">
        <v>138.46</v>
      </c>
      <c r="N18" s="116">
        <v>144.22999999999999</v>
      </c>
      <c r="O18" s="116">
        <v>144.22999999999999</v>
      </c>
      <c r="P18" s="116">
        <v>144.22999999999999</v>
      </c>
      <c r="Q18" s="116">
        <v>150</v>
      </c>
      <c r="R18" s="129">
        <v>150</v>
      </c>
      <c r="S18" s="129">
        <v>150</v>
      </c>
      <c r="T18" s="129">
        <v>155.77000000000001</v>
      </c>
      <c r="U18" s="116">
        <v>161.54</v>
      </c>
      <c r="V18" s="116">
        <v>173.08</v>
      </c>
    </row>
    <row r="19" spans="1:22" x14ac:dyDescent="0.25">
      <c r="A19" s="112" t="s">
        <v>188</v>
      </c>
      <c r="B19" s="638">
        <v>146.15</v>
      </c>
      <c r="C19" s="117">
        <v>146.15</v>
      </c>
      <c r="D19" s="117">
        <v>153.85</v>
      </c>
      <c r="E19" s="117">
        <v>153.85</v>
      </c>
      <c r="F19" s="117">
        <v>161.54</v>
      </c>
      <c r="G19" s="117">
        <v>161.54</v>
      </c>
      <c r="H19" s="117">
        <v>169.23</v>
      </c>
      <c r="I19" s="117">
        <v>169.23</v>
      </c>
      <c r="J19" s="117">
        <v>176.92</v>
      </c>
      <c r="K19" s="117">
        <v>176.92</v>
      </c>
      <c r="L19" s="117">
        <v>184.62</v>
      </c>
      <c r="M19" s="117">
        <v>184.62</v>
      </c>
      <c r="N19" s="117">
        <v>192.31</v>
      </c>
      <c r="O19" s="117">
        <v>192.31</v>
      </c>
      <c r="P19" s="117">
        <v>192.31</v>
      </c>
      <c r="Q19" s="117">
        <v>200</v>
      </c>
      <c r="R19" s="130">
        <v>200</v>
      </c>
      <c r="S19" s="130">
        <v>200</v>
      </c>
      <c r="T19" s="130">
        <v>207.69</v>
      </c>
      <c r="U19" s="116">
        <v>215.38</v>
      </c>
      <c r="V19" s="116">
        <v>230.77</v>
      </c>
    </row>
    <row r="20" spans="1:22" x14ac:dyDescent="0.25">
      <c r="A20" s="111" t="s">
        <v>183</v>
      </c>
      <c r="B20" s="637">
        <v>152.88</v>
      </c>
      <c r="C20" s="118">
        <f t="shared" ref="C20:J20" si="23">C2</f>
        <v>186.54</v>
      </c>
      <c r="D20" s="118">
        <f t="shared" si="23"/>
        <v>192.31</v>
      </c>
      <c r="E20" s="118">
        <f t="shared" si="23"/>
        <v>198.08</v>
      </c>
      <c r="F20" s="118">
        <f t="shared" si="23"/>
        <v>205.77</v>
      </c>
      <c r="G20" s="118">
        <f t="shared" si="23"/>
        <v>209.62</v>
      </c>
      <c r="H20" s="118">
        <f t="shared" si="23"/>
        <v>219.23</v>
      </c>
      <c r="I20" s="118">
        <f t="shared" si="23"/>
        <v>219.23</v>
      </c>
      <c r="J20" s="118">
        <f t="shared" si="23"/>
        <v>223.08</v>
      </c>
      <c r="K20" s="118">
        <f t="shared" ref="K20:P20" si="24">K2</f>
        <v>228.85</v>
      </c>
      <c r="L20" s="118">
        <f t="shared" si="24"/>
        <v>234.62</v>
      </c>
      <c r="M20" s="118">
        <f t="shared" si="24"/>
        <v>234.62</v>
      </c>
      <c r="N20" s="118">
        <f t="shared" si="24"/>
        <v>242.31</v>
      </c>
      <c r="O20" s="118">
        <f t="shared" si="24"/>
        <v>242.31</v>
      </c>
      <c r="P20" s="118">
        <f t="shared" si="24"/>
        <v>244.23</v>
      </c>
      <c r="Q20" s="118">
        <f t="shared" ref="Q20:S20" si="25">Q2</f>
        <v>250</v>
      </c>
      <c r="R20" s="131">
        <f t="shared" si="25"/>
        <v>469.23</v>
      </c>
      <c r="S20" s="131">
        <f t="shared" si="25"/>
        <v>476.92</v>
      </c>
      <c r="T20" s="131">
        <f t="shared" ref="T20:V20" si="26">T2</f>
        <v>482.69</v>
      </c>
      <c r="U20" s="131">
        <f>U2</f>
        <v>498.08</v>
      </c>
      <c r="V20" s="131">
        <f t="shared" si="26"/>
        <v>532.69000000000005</v>
      </c>
    </row>
    <row r="21" spans="1:22" x14ac:dyDescent="0.25">
      <c r="A21" s="111" t="s">
        <v>184</v>
      </c>
      <c r="B21" s="639">
        <f>B3</f>
        <v>117.31</v>
      </c>
      <c r="C21" s="118">
        <f>C3</f>
        <v>119.23</v>
      </c>
      <c r="D21" s="118">
        <f t="shared" ref="D21:K21" si="27">D3</f>
        <v>123.08</v>
      </c>
      <c r="E21" s="118">
        <f t="shared" si="27"/>
        <v>126.92</v>
      </c>
      <c r="F21" s="118">
        <f t="shared" si="27"/>
        <v>130.77000000000001</v>
      </c>
      <c r="G21" s="118">
        <f t="shared" si="27"/>
        <v>134.62</v>
      </c>
      <c r="H21" s="118">
        <f t="shared" si="27"/>
        <v>140.38</v>
      </c>
      <c r="I21" s="118">
        <f t="shared" si="27"/>
        <v>140.38</v>
      </c>
      <c r="J21" s="118">
        <f t="shared" si="27"/>
        <v>142.30000000000001</v>
      </c>
      <c r="K21" s="118">
        <f t="shared" si="27"/>
        <v>146.15</v>
      </c>
      <c r="L21" s="118">
        <f t="shared" ref="L21:Q21" si="28">L3</f>
        <v>150</v>
      </c>
      <c r="M21" s="118">
        <f t="shared" si="28"/>
        <v>150</v>
      </c>
      <c r="N21" s="118">
        <f t="shared" si="28"/>
        <v>153.84</v>
      </c>
      <c r="O21" s="118">
        <f t="shared" si="28"/>
        <v>155.77000000000001</v>
      </c>
      <c r="P21" s="118">
        <f t="shared" si="28"/>
        <v>155.77000000000001</v>
      </c>
      <c r="Q21" s="118">
        <f t="shared" si="28"/>
        <v>159.62</v>
      </c>
      <c r="R21" s="131">
        <f t="shared" ref="R21:V21" si="29">R3</f>
        <v>161.54</v>
      </c>
      <c r="S21" s="131">
        <f t="shared" si="29"/>
        <v>165.38</v>
      </c>
      <c r="T21" s="131">
        <f t="shared" si="29"/>
        <v>165.38</v>
      </c>
      <c r="U21" s="131">
        <f>U3</f>
        <v>169.23</v>
      </c>
      <c r="V21" s="131">
        <f t="shared" si="29"/>
        <v>180.77</v>
      </c>
    </row>
    <row r="22" spans="1:22" x14ac:dyDescent="0.25">
      <c r="A22" s="111" t="s">
        <v>185</v>
      </c>
      <c r="B22" s="639">
        <f t="shared" ref="B22:C25" si="30">B16</f>
        <v>36.54</v>
      </c>
      <c r="C22" s="118">
        <f t="shared" si="30"/>
        <v>36.54</v>
      </c>
      <c r="D22" s="118">
        <f t="shared" ref="D22:K22" si="31">D16</f>
        <v>38.46</v>
      </c>
      <c r="E22" s="118">
        <f t="shared" si="31"/>
        <v>38.46</v>
      </c>
      <c r="F22" s="118">
        <f t="shared" si="31"/>
        <v>40.380000000000003</v>
      </c>
      <c r="G22" s="118">
        <f t="shared" si="31"/>
        <v>40.380000000000003</v>
      </c>
      <c r="H22" s="118">
        <f t="shared" si="31"/>
        <v>42.31</v>
      </c>
      <c r="I22" s="118">
        <f t="shared" si="31"/>
        <v>42.31</v>
      </c>
      <c r="J22" s="118">
        <f t="shared" si="31"/>
        <v>44.23</v>
      </c>
      <c r="K22" s="118">
        <f t="shared" si="31"/>
        <v>44.23</v>
      </c>
      <c r="L22" s="118">
        <f t="shared" ref="L22:M25" si="32">L16</f>
        <v>46.15</v>
      </c>
      <c r="M22" s="118">
        <f t="shared" si="32"/>
        <v>46.15</v>
      </c>
      <c r="N22" s="118">
        <f t="shared" ref="N22:O22" si="33">N16</f>
        <v>48.08</v>
      </c>
      <c r="O22" s="118">
        <f t="shared" si="33"/>
        <v>48.08</v>
      </c>
      <c r="P22" s="118">
        <f t="shared" ref="P22:Q22" si="34">P16</f>
        <v>48.08</v>
      </c>
      <c r="Q22" s="118">
        <f t="shared" si="34"/>
        <v>50</v>
      </c>
      <c r="R22" s="131">
        <f t="shared" ref="R22:V22" si="35">R16</f>
        <v>50</v>
      </c>
      <c r="S22" s="131">
        <f t="shared" si="35"/>
        <v>50</v>
      </c>
      <c r="T22" s="131">
        <f t="shared" si="35"/>
        <v>51.92</v>
      </c>
      <c r="U22" s="131">
        <f>U16</f>
        <v>53.85</v>
      </c>
      <c r="V22" s="131">
        <f t="shared" si="35"/>
        <v>57.69</v>
      </c>
    </row>
    <row r="23" spans="1:22" x14ac:dyDescent="0.25">
      <c r="A23" s="111" t="s">
        <v>186</v>
      </c>
      <c r="B23" s="639">
        <f t="shared" si="30"/>
        <v>73.08</v>
      </c>
      <c r="C23" s="118">
        <f t="shared" si="30"/>
        <v>73.08</v>
      </c>
      <c r="D23" s="118">
        <f t="shared" ref="D23:K23" si="36">D17</f>
        <v>76.92</v>
      </c>
      <c r="E23" s="118">
        <f t="shared" si="36"/>
        <v>76.92</v>
      </c>
      <c r="F23" s="118">
        <f t="shared" si="36"/>
        <v>80.77</v>
      </c>
      <c r="G23" s="118">
        <f t="shared" si="36"/>
        <v>80.77</v>
      </c>
      <c r="H23" s="118">
        <f t="shared" si="36"/>
        <v>84.62</v>
      </c>
      <c r="I23" s="118">
        <f t="shared" si="36"/>
        <v>84.62</v>
      </c>
      <c r="J23" s="118">
        <f t="shared" si="36"/>
        <v>88.46</v>
      </c>
      <c r="K23" s="118">
        <f t="shared" si="36"/>
        <v>88.46</v>
      </c>
      <c r="L23" s="118">
        <f t="shared" si="32"/>
        <v>92.31</v>
      </c>
      <c r="M23" s="118">
        <f t="shared" si="32"/>
        <v>92.31</v>
      </c>
      <c r="N23" s="118">
        <f t="shared" ref="N23:O23" si="37">N17</f>
        <v>96.15</v>
      </c>
      <c r="O23" s="118">
        <f t="shared" si="37"/>
        <v>96.15</v>
      </c>
      <c r="P23" s="118">
        <f t="shared" ref="P23:Q23" si="38">P17</f>
        <v>96.15</v>
      </c>
      <c r="Q23" s="118">
        <f t="shared" si="38"/>
        <v>100</v>
      </c>
      <c r="R23" s="131">
        <f t="shared" ref="R23:V23" si="39">R17</f>
        <v>100</v>
      </c>
      <c r="S23" s="131">
        <f t="shared" si="39"/>
        <v>100</v>
      </c>
      <c r="T23" s="131">
        <f t="shared" si="39"/>
        <v>103.85</v>
      </c>
      <c r="U23" s="131">
        <f>U17</f>
        <v>107.69</v>
      </c>
      <c r="V23" s="131">
        <f t="shared" si="39"/>
        <v>115.38</v>
      </c>
    </row>
    <row r="24" spans="1:22" x14ac:dyDescent="0.25">
      <c r="A24" s="111" t="s">
        <v>189</v>
      </c>
      <c r="B24" s="639">
        <f t="shared" si="30"/>
        <v>109.62</v>
      </c>
      <c r="C24" s="118">
        <f t="shared" si="30"/>
        <v>109.62</v>
      </c>
      <c r="D24" s="118">
        <f t="shared" ref="D24:K24" si="40">D18</f>
        <v>115.38</v>
      </c>
      <c r="E24" s="118">
        <f t="shared" si="40"/>
        <v>115.38</v>
      </c>
      <c r="F24" s="118">
        <f t="shared" si="40"/>
        <v>121.15</v>
      </c>
      <c r="G24" s="118">
        <f t="shared" si="40"/>
        <v>121.15</v>
      </c>
      <c r="H24" s="118">
        <f t="shared" si="40"/>
        <v>126.92</v>
      </c>
      <c r="I24" s="118">
        <f t="shared" si="40"/>
        <v>126.92</v>
      </c>
      <c r="J24" s="118">
        <f t="shared" si="40"/>
        <v>132.69</v>
      </c>
      <c r="K24" s="118">
        <f t="shared" si="40"/>
        <v>132.69</v>
      </c>
      <c r="L24" s="118">
        <f t="shared" si="32"/>
        <v>138.46</v>
      </c>
      <c r="M24" s="118">
        <f t="shared" si="32"/>
        <v>138.46</v>
      </c>
      <c r="N24" s="118">
        <f t="shared" ref="N24:O24" si="41">N18</f>
        <v>144.22999999999999</v>
      </c>
      <c r="O24" s="118">
        <f t="shared" si="41"/>
        <v>144.22999999999999</v>
      </c>
      <c r="P24" s="118">
        <f t="shared" ref="P24:Q24" si="42">P18</f>
        <v>144.22999999999999</v>
      </c>
      <c r="Q24" s="118">
        <f t="shared" si="42"/>
        <v>150</v>
      </c>
      <c r="R24" s="131">
        <f t="shared" ref="R24:V24" si="43">R18</f>
        <v>150</v>
      </c>
      <c r="S24" s="131">
        <f t="shared" si="43"/>
        <v>150</v>
      </c>
      <c r="T24" s="131">
        <f t="shared" si="43"/>
        <v>155.77000000000001</v>
      </c>
      <c r="U24" s="131">
        <f>U18</f>
        <v>161.54</v>
      </c>
      <c r="V24" s="131">
        <f t="shared" si="43"/>
        <v>173.08</v>
      </c>
    </row>
    <row r="25" spans="1:22" ht="15.75" thickBot="1" x14ac:dyDescent="0.3">
      <c r="A25" s="113" t="s">
        <v>190</v>
      </c>
      <c r="B25" s="641">
        <f t="shared" si="30"/>
        <v>146.15</v>
      </c>
      <c r="C25" s="133">
        <f t="shared" si="30"/>
        <v>146.15</v>
      </c>
      <c r="D25" s="133">
        <f t="shared" ref="D25:K25" si="44">D19</f>
        <v>153.85</v>
      </c>
      <c r="E25" s="133">
        <f t="shared" si="44"/>
        <v>153.85</v>
      </c>
      <c r="F25" s="133">
        <f t="shared" si="44"/>
        <v>161.54</v>
      </c>
      <c r="G25" s="133">
        <f t="shared" si="44"/>
        <v>161.54</v>
      </c>
      <c r="H25" s="133">
        <f t="shared" si="44"/>
        <v>169.23</v>
      </c>
      <c r="I25" s="133">
        <f t="shared" si="44"/>
        <v>169.23</v>
      </c>
      <c r="J25" s="133">
        <f t="shared" si="44"/>
        <v>176.92</v>
      </c>
      <c r="K25" s="133">
        <f t="shared" si="44"/>
        <v>176.92</v>
      </c>
      <c r="L25" s="133">
        <f t="shared" si="32"/>
        <v>184.62</v>
      </c>
      <c r="M25" s="133">
        <f t="shared" si="32"/>
        <v>184.62</v>
      </c>
      <c r="N25" s="133">
        <f t="shared" ref="N25:O25" si="45">N19</f>
        <v>192.31</v>
      </c>
      <c r="O25" s="133">
        <f t="shared" si="45"/>
        <v>192.31</v>
      </c>
      <c r="P25" s="133">
        <f t="shared" ref="P25:Q25" si="46">P19</f>
        <v>192.31</v>
      </c>
      <c r="Q25" s="133">
        <f t="shared" si="46"/>
        <v>200</v>
      </c>
      <c r="R25" s="134">
        <f t="shared" ref="R25:V25" si="47">R19</f>
        <v>200</v>
      </c>
      <c r="S25" s="134">
        <f t="shared" si="47"/>
        <v>200</v>
      </c>
      <c r="T25" s="134">
        <f t="shared" si="47"/>
        <v>207.69</v>
      </c>
      <c r="U25" s="134">
        <f>U19</f>
        <v>215.38</v>
      </c>
      <c r="V25" s="134">
        <f t="shared" si="47"/>
        <v>230.77</v>
      </c>
    </row>
    <row r="26" spans="1:22" x14ac:dyDescent="0.25">
      <c r="A26" s="114"/>
      <c r="C26" s="114"/>
      <c r="D26" s="114"/>
      <c r="E26" s="114"/>
      <c r="F26" s="114"/>
      <c r="G26" s="114"/>
    </row>
    <row r="27" spans="1:22" x14ac:dyDescent="0.25">
      <c r="A27" s="114"/>
      <c r="C27" s="114"/>
      <c r="D27" s="114"/>
      <c r="E27" s="114"/>
      <c r="F27" s="114"/>
      <c r="G27" s="114"/>
    </row>
    <row r="28" spans="1:22" x14ac:dyDescent="0.25">
      <c r="A28" s="114"/>
      <c r="C28" s="114"/>
      <c r="D28" s="114"/>
      <c r="E28" s="114"/>
      <c r="F28" s="114"/>
      <c r="G28" s="114"/>
    </row>
    <row r="29" spans="1:22" ht="15.75" thickBot="1" x14ac:dyDescent="0.3">
      <c r="A29" s="114" t="s">
        <v>193</v>
      </c>
    </row>
    <row r="30" spans="1:22" x14ac:dyDescent="0.25">
      <c r="A30" s="124" t="s">
        <v>6</v>
      </c>
    </row>
    <row r="31" spans="1:22" x14ac:dyDescent="0.25">
      <c r="A31" s="125" t="s">
        <v>164</v>
      </c>
    </row>
    <row r="32" spans="1:22" x14ac:dyDescent="0.25">
      <c r="A32" s="125" t="s">
        <v>165</v>
      </c>
    </row>
    <row r="33" spans="1:12" ht="15.75" thickBot="1" x14ac:dyDescent="0.3">
      <c r="A33" s="126" t="s">
        <v>166</v>
      </c>
      <c r="G33" s="698"/>
      <c r="H33" s="698"/>
      <c r="I33" s="698"/>
      <c r="J33" s="698"/>
      <c r="K33" s="698"/>
      <c r="L33" s="698"/>
    </row>
    <row r="34" spans="1:12" ht="15.75" thickBot="1" x14ac:dyDescent="0.3"/>
    <row r="35" spans="1:12" x14ac:dyDescent="0.25">
      <c r="A35" s="147" t="s">
        <v>212</v>
      </c>
      <c r="B35" s="135" t="s">
        <v>195</v>
      </c>
      <c r="D35" s="147" t="s">
        <v>213</v>
      </c>
      <c r="G35" s="135" t="s">
        <v>195</v>
      </c>
      <c r="I35" s="147" t="s">
        <v>214</v>
      </c>
      <c r="L35" s="135" t="s">
        <v>195</v>
      </c>
    </row>
    <row r="36" spans="1:12" ht="15.75" thickBot="1" x14ac:dyDescent="0.3">
      <c r="A36" t="s">
        <v>192</v>
      </c>
      <c r="B36" s="136">
        <f>ESTIMATOR!F68</f>
        <v>2023</v>
      </c>
      <c r="D36" s="142" t="s">
        <v>192</v>
      </c>
      <c r="G36" s="146">
        <f>ESTIMATOR!F69</f>
        <v>2023</v>
      </c>
      <c r="I36" s="142" t="s">
        <v>192</v>
      </c>
      <c r="L36" s="146">
        <f>ESTIMATOR!F70</f>
        <v>2023</v>
      </c>
    </row>
    <row r="37" spans="1:12" x14ac:dyDescent="0.25">
      <c r="A37" s="106" t="str">
        <f>ESTIMATOR!$G$68&amp;"- "&amp;"Fixed Exemption"</f>
        <v>Single- Fixed Exemption</v>
      </c>
      <c r="B37" s="122">
        <f>VLOOKUP($A37,'LEVY TABLES'!$A$2:$V$25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2023,22,1)))))))))))))))))))),FALSE)</f>
        <v>532.69000000000005</v>
      </c>
      <c r="D37" s="143" t="str">
        <f>ESTIMATOR!$G$69&amp;"- "&amp;"Fixed Exemption"</f>
        <v>Single- Fixed Exemption</v>
      </c>
      <c r="E37" s="76"/>
      <c r="F37" s="76"/>
      <c r="G37" s="120">
        <f>VLOOKUP($D37,'LEVY TABLES'!$A$2:$V$25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2023,22,1)))))))))))))))))))),FALSE)</f>
        <v>532.69000000000005</v>
      </c>
      <c r="I37" s="143" t="str">
        <f>ESTIMATOR!$G$70&amp;"- "&amp;"Fixed Exemption"</f>
        <v>Single- Fixed Exemption</v>
      </c>
      <c r="J37" s="76"/>
      <c r="K37" s="76"/>
      <c r="L37" s="120">
        <f>VLOOKUP($I37,'LEVY TABLES'!$A$2:$V$25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2023,22,1)))))))))))))))))))),FALSE)</f>
        <v>532.69000000000005</v>
      </c>
    </row>
    <row r="38" spans="1:12" x14ac:dyDescent="0.25">
      <c r="A38" s="121" t="str">
        <f>ESTIMATOR!$G$68&amp;"- "&amp;"Variable Exemption"</f>
        <v>Single- Variable Exemption</v>
      </c>
      <c r="B38" s="122">
        <f>VLOOKUP($A38,'LEVY TABLES'!$A$2:$V$25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2023,22,1)))))))))))))))))))),FALSE)</f>
        <v>180.77</v>
      </c>
      <c r="D38" s="144" t="str">
        <f>ESTIMATOR!$G$69&amp;"- "&amp;"Variable Exemption"</f>
        <v>Single- Variable Exemption</v>
      </c>
      <c r="E38" s="80"/>
      <c r="F38" s="80"/>
      <c r="G38" s="330">
        <f>VLOOKUP($D38,'LEVY TABLES'!$A$2:$V$25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2023,22,1)))))))))))))))))))),FALSE)</f>
        <v>180.77</v>
      </c>
      <c r="I38" s="144" t="str">
        <f>ESTIMATOR!$G$70&amp;"- "&amp;"Variable Exemption"</f>
        <v>Single- Variable Exemption</v>
      </c>
      <c r="J38" s="80"/>
      <c r="K38" s="80"/>
      <c r="L38" s="122">
        <f>VLOOKUP($I38,'LEVY TABLES'!$A$2:$V$25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2023,22,1)))))))))))))))))))),FALSE)</f>
        <v>180.77</v>
      </c>
    </row>
    <row r="39" spans="1:12" x14ac:dyDescent="0.25">
      <c r="A39" s="121" t="str">
        <f>ESTIMATOR!$G$68&amp;"- "&amp;"1 Additional Exemption"</f>
        <v>Single- 1 Additional Exemption</v>
      </c>
      <c r="B39" s="122">
        <f>VLOOKUP($A39,'LEVY TABLES'!$A$2:$V$25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2023,22,1)))))))))))))))))))),FALSE)</f>
        <v>71.150000000000006</v>
      </c>
      <c r="D39" s="144" t="str">
        <f>ESTIMATOR!$G$69&amp;"- "&amp;"1 Additional Exemption"</f>
        <v>Single- 1 Additional Exemption</v>
      </c>
      <c r="E39" s="80"/>
      <c r="F39" s="80"/>
      <c r="G39" s="330">
        <f>VLOOKUP($D39,'LEVY TABLES'!$A$2:$V$25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2023,22,1)))))))))))))))))))),FALSE)</f>
        <v>71.150000000000006</v>
      </c>
      <c r="I39" s="144" t="str">
        <f>ESTIMATOR!$G$70&amp;"- "&amp;"1 Additional Exemption"</f>
        <v>Single- 1 Additional Exemption</v>
      </c>
      <c r="J39" s="80"/>
      <c r="K39" s="80"/>
      <c r="L39" s="122">
        <f>VLOOKUP($I39,'LEVY TABLES'!$A$2:$V$25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2023,22,1)))))))))))))))))))),FALSE)</f>
        <v>71.150000000000006</v>
      </c>
    </row>
    <row r="40" spans="1:12" x14ac:dyDescent="0.25">
      <c r="A40" s="121" t="str">
        <f>ESTIMATOR!$G$68&amp;"- "&amp;"2 Additional Exemptions"</f>
        <v>Single- 2 Additional Exemptions</v>
      </c>
      <c r="B40" s="122">
        <f>VLOOKUP($A40,'LEVY TABLES'!$A$2:$V$25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2023,22,1)))))))))))))))))))),FALSE)</f>
        <v>142.31</v>
      </c>
      <c r="D40" s="144" t="str">
        <f>ESTIMATOR!$G$69&amp;"- "&amp;"2 Additional Exemptions"</f>
        <v>Single- 2 Additional Exemptions</v>
      </c>
      <c r="E40" s="80"/>
      <c r="F40" s="80"/>
      <c r="G40" s="330">
        <f>VLOOKUP($D40,'LEVY TABLES'!$A$2:$V$25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2023,22,1)))))))))))))))))))),FALSE)</f>
        <v>142.31</v>
      </c>
      <c r="I40" s="144" t="str">
        <f>ESTIMATOR!$G$70&amp;"- "&amp;"2 Additional Exemptions"</f>
        <v>Single- 2 Additional Exemptions</v>
      </c>
      <c r="J40" s="80"/>
      <c r="K40" s="80"/>
      <c r="L40" s="122">
        <f>VLOOKUP($I40,'LEVY TABLES'!$A$2:$V$25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2023,22,1)))))))))))))))))))),FALSE)</f>
        <v>142.31</v>
      </c>
    </row>
    <row r="41" spans="1:12" x14ac:dyDescent="0.25">
      <c r="A41" s="121" t="str">
        <f>ESTIMATOR!$G$68&amp;"- "&amp;"3 Additional Exemptions"</f>
        <v>Single- 3 Additional Exemptions</v>
      </c>
      <c r="B41" s="122">
        <f>VLOOKUP($A41,'LEVY TABLES'!$A$2:$V$25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2023,22,1)))))))))))))))))))),FALSE)</f>
        <v>142.31</v>
      </c>
      <c r="D41" s="144" t="str">
        <f>ESTIMATOR!$G$69&amp;"- "&amp;"3 Additional Exemptions"</f>
        <v>Single- 3 Additional Exemptions</v>
      </c>
      <c r="E41" s="80"/>
      <c r="F41" s="80"/>
      <c r="G41" s="330">
        <f>VLOOKUP($D41,'LEVY TABLES'!$A$2:$V$25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2023,22,1)))))))))))))))))))),FALSE)</f>
        <v>142.31</v>
      </c>
      <c r="I41" s="144" t="str">
        <f>ESTIMATOR!$G$70&amp;"- "&amp;"3 Additional Exemptions"</f>
        <v>Single- 3 Additional Exemptions</v>
      </c>
      <c r="J41" s="80"/>
      <c r="K41" s="80"/>
      <c r="L41" s="122">
        <f>VLOOKUP($I41,'LEVY TABLES'!$A$2:$V$25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2023,22,1)))))))))))))))))))),FALSE)</f>
        <v>142.31</v>
      </c>
    </row>
    <row r="42" spans="1:12" ht="15.75" thickBot="1" x14ac:dyDescent="0.3">
      <c r="A42" s="107" t="str">
        <f>ESTIMATOR!$G$68&amp;"- "&amp;"4 Additional Exemptions"</f>
        <v>Single- 4 Additional Exemptions</v>
      </c>
      <c r="B42" s="123">
        <f>VLOOKUP($A42,'LEVY TABLES'!$A$2:$V$25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2023,22,1)))))))))))))))))))),FALSE)</f>
        <v>142.31</v>
      </c>
      <c r="D42" s="145" t="str">
        <f>ESTIMATOR!$G$69&amp;"- "&amp;"4 Additional Exemptions"</f>
        <v>Single- 4 Additional Exemptions</v>
      </c>
      <c r="E42" s="85"/>
      <c r="F42" s="85"/>
      <c r="G42" s="331">
        <f>VLOOKUP($D42,'LEVY TABLES'!$A$2:$V$25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2023,22,1)))))))))))))))))))),FALSE)</f>
        <v>142.31</v>
      </c>
      <c r="I42" s="145" t="str">
        <f>ESTIMATOR!$G$70&amp;"- "&amp;"4 Additional Exemptions"</f>
        <v>Single- 4 Additional Exemptions</v>
      </c>
      <c r="J42" s="85"/>
      <c r="K42" s="85"/>
      <c r="L42" s="123">
        <f>VLOOKUP($I42,'LEVY TABLES'!$A$2:$V$25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2023,22,1)))))))))))))))))))),FALSE)</f>
        <v>142.31</v>
      </c>
    </row>
  </sheetData>
  <sheetProtection algorithmName="SHA-512" hashValue="z9AdXtLIRS5JhIaUU8hqlB6AwE7zc4fIMzr5yPD6zUpgPI6YKvUSZZTwPC3n3G6Gu7CNsZLHiDnrdjdCi2Mxkw==" saltValue="CujKv1Kgbwt+ZAgacFKPMA==" spinCount="100000" sheet="1" objects="1" scenarios="1"/>
  <pageMargins left="0.25" right="0.25" top="0.75" bottom="0.25" header="0.3" footer="0.3"/>
  <pageSetup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C51"/>
  <sheetViews>
    <sheetView workbookViewId="0">
      <selection activeCell="C17" sqref="C17"/>
    </sheetView>
  </sheetViews>
  <sheetFormatPr defaultRowHeight="15" x14ac:dyDescent="0.25"/>
  <cols>
    <col min="2" max="2" width="42.140625" customWidth="1"/>
    <col min="3" max="3" width="9" bestFit="1" customWidth="1"/>
    <col min="4" max="4" width="8.140625" customWidth="1"/>
  </cols>
  <sheetData>
    <row r="1" spans="2:3" x14ac:dyDescent="0.25">
      <c r="B1" t="s">
        <v>106</v>
      </c>
      <c r="C1" t="s">
        <v>105</v>
      </c>
    </row>
    <row r="2" spans="2:3" x14ac:dyDescent="0.25">
      <c r="C2" t="s">
        <v>107</v>
      </c>
    </row>
    <row r="4" spans="2:3" x14ac:dyDescent="0.25">
      <c r="B4" t="s">
        <v>141</v>
      </c>
      <c r="C4">
        <v>1.5</v>
      </c>
    </row>
    <row r="5" spans="2:3" x14ac:dyDescent="0.25">
      <c r="C5" s="101">
        <v>1</v>
      </c>
    </row>
    <row r="7" spans="2:3" x14ac:dyDescent="0.25">
      <c r="B7" t="s">
        <v>8</v>
      </c>
      <c r="C7" t="s">
        <v>6</v>
      </c>
    </row>
    <row r="8" spans="2:3" x14ac:dyDescent="0.25">
      <c r="C8" t="s">
        <v>7</v>
      </c>
    </row>
    <row r="9" spans="2:3" x14ac:dyDescent="0.25">
      <c r="C9" t="s">
        <v>164</v>
      </c>
    </row>
    <row r="11" spans="2:3" x14ac:dyDescent="0.25">
      <c r="C11" t="s">
        <v>497</v>
      </c>
    </row>
    <row r="12" spans="2:3" x14ac:dyDescent="0.25">
      <c r="C12" t="s">
        <v>489</v>
      </c>
    </row>
    <row r="15" spans="2:3" x14ac:dyDescent="0.25">
      <c r="B15" t="s">
        <v>5</v>
      </c>
      <c r="C15" s="1">
        <v>3.5000000000000003E-2</v>
      </c>
    </row>
    <row r="16" spans="2:3" x14ac:dyDescent="0.25">
      <c r="C16" s="1">
        <v>0.03</v>
      </c>
    </row>
    <row r="17" spans="2:3" x14ac:dyDescent="0.25">
      <c r="C17" s="1">
        <v>2.5000000000000001E-2</v>
      </c>
    </row>
    <row r="18" spans="2:3" x14ac:dyDescent="0.25">
      <c r="C18" s="1">
        <v>0.02</v>
      </c>
    </row>
    <row r="19" spans="2:3" x14ac:dyDescent="0.25">
      <c r="C19" s="1">
        <v>1.4999999999999999E-2</v>
      </c>
    </row>
    <row r="20" spans="2:3" x14ac:dyDescent="0.25">
      <c r="C20" s="1">
        <v>0.01</v>
      </c>
    </row>
    <row r="21" spans="2:3" x14ac:dyDescent="0.25">
      <c r="C21" s="1">
        <v>5.0000000000000001E-3</v>
      </c>
    </row>
    <row r="22" spans="2:3" x14ac:dyDescent="0.25">
      <c r="C22" s="1">
        <v>0</v>
      </c>
    </row>
    <row r="24" spans="2:3" x14ac:dyDescent="0.25">
      <c r="B24" t="s">
        <v>128</v>
      </c>
    </row>
    <row r="25" spans="2:3" x14ac:dyDescent="0.25">
      <c r="B25" t="s">
        <v>129</v>
      </c>
    </row>
    <row r="27" spans="2:3" x14ac:dyDescent="0.25">
      <c r="B27" s="3" t="s">
        <v>23</v>
      </c>
    </row>
    <row r="28" spans="2:3" x14ac:dyDescent="0.25">
      <c r="B28" s="16" t="s">
        <v>12</v>
      </c>
    </row>
    <row r="29" spans="2:3" x14ac:dyDescent="0.25">
      <c r="B29" s="16" t="s">
        <v>16</v>
      </c>
    </row>
    <row r="30" spans="2:3" x14ac:dyDescent="0.25">
      <c r="B30" s="16" t="s">
        <v>14</v>
      </c>
    </row>
    <row r="31" spans="2:3" x14ac:dyDescent="0.25">
      <c r="B31" s="16" t="s">
        <v>15</v>
      </c>
    </row>
    <row r="32" spans="2:3" x14ac:dyDescent="0.25">
      <c r="B32" s="16" t="s">
        <v>160</v>
      </c>
    </row>
    <row r="36" spans="2:3" x14ac:dyDescent="0.25">
      <c r="B36" s="2" t="s">
        <v>235</v>
      </c>
      <c r="C36" t="s">
        <v>223</v>
      </c>
    </row>
    <row r="37" spans="2:3" x14ac:dyDescent="0.25">
      <c r="B37" s="2"/>
      <c r="C37" t="s">
        <v>236</v>
      </c>
    </row>
    <row r="38" spans="2:3" x14ac:dyDescent="0.25">
      <c r="B38" s="2"/>
      <c r="C38" t="s">
        <v>237</v>
      </c>
    </row>
    <row r="39" spans="2:3" x14ac:dyDescent="0.25">
      <c r="B39" s="2"/>
      <c r="C39" t="s">
        <v>239</v>
      </c>
    </row>
    <row r="40" spans="2:3" x14ac:dyDescent="0.25">
      <c r="B40" s="2"/>
    </row>
    <row r="42" spans="2:3" x14ac:dyDescent="0.25">
      <c r="B42" t="s">
        <v>149</v>
      </c>
      <c r="C42" s="109">
        <v>0.15</v>
      </c>
    </row>
    <row r="43" spans="2:3" x14ac:dyDescent="0.25">
      <c r="C43" s="109"/>
    </row>
    <row r="45" spans="2:3" x14ac:dyDescent="0.25">
      <c r="B45" s="2" t="s">
        <v>145</v>
      </c>
      <c r="C45" s="108">
        <v>0.25</v>
      </c>
    </row>
    <row r="46" spans="2:3" x14ac:dyDescent="0.25">
      <c r="C46" s="108">
        <v>0.15</v>
      </c>
    </row>
    <row r="48" spans="2:3" x14ac:dyDescent="0.25">
      <c r="B48" t="s">
        <v>283</v>
      </c>
      <c r="C48" s="237">
        <v>1</v>
      </c>
    </row>
    <row r="49" spans="3:3" x14ac:dyDescent="0.25">
      <c r="C49" s="237">
        <v>2</v>
      </c>
    </row>
    <row r="50" spans="3:3" x14ac:dyDescent="0.25">
      <c r="C50" s="237">
        <v>3</v>
      </c>
    </row>
    <row r="51" spans="3:3" x14ac:dyDescent="0.25">
      <c r="C51" s="237">
        <v>5</v>
      </c>
    </row>
  </sheetData>
  <sheetProtection algorithmName="SHA-512" hashValue="7vKG+sfccseD50rUHg8/XqtUVmXPPQ1B7yzveKErtmbUcmy2qNCkR52S5hB3pi0NGt4J+pBKXZOEgNcDxLq5ww==" saltValue="rtkGj9fO1GflQtgntLUNG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ESTIMATOR</vt:lpstr>
      <vt:lpstr>CHART</vt:lpstr>
      <vt:lpstr>WAGE BASE</vt:lpstr>
      <vt:lpstr>CYCLES</vt:lpstr>
      <vt:lpstr>PRIORITIES</vt:lpstr>
      <vt:lpstr>TAX TABLES</vt:lpstr>
      <vt:lpstr>RETIREMENT</vt:lpstr>
      <vt:lpstr>LEVY TABLES</vt:lpstr>
      <vt:lpstr>OPTIONS</vt:lpstr>
      <vt:lpstr>Sheet1</vt:lpstr>
      <vt:lpstr>ASRSeligibleWage</vt:lpstr>
      <vt:lpstr>CORPeligibleWage</vt:lpstr>
      <vt:lpstr>DisposableIncomeBKSOCG</vt:lpstr>
      <vt:lpstr>DisposableIncomeFSLAWG</vt:lpstr>
      <vt:lpstr>DisposableIncomeTaxLevy</vt:lpstr>
      <vt:lpstr>EORPeligibleWage</vt:lpstr>
      <vt:lpstr>FederalTaxableWage</vt:lpstr>
      <vt:lpstr>FICATaxable</vt:lpstr>
      <vt:lpstr>CYCLES!Print_Area</vt:lpstr>
      <vt:lpstr>ESTIMATOR!Print_Area</vt:lpstr>
      <vt:lpstr>PRIORITIES!Print_Area</vt:lpstr>
      <vt:lpstr>RETIREMENT!Print_Area</vt:lpstr>
      <vt:lpstr>'TAX TABLES'!Print_Area</vt:lpstr>
      <vt:lpstr>'WAGE BASE'!Print_Area</vt:lpstr>
      <vt:lpstr>PSRSeligibleWage</vt:lpstr>
    </vt:vector>
  </TitlesOfParts>
  <Company>AZDOT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 Wilbur</dc:creator>
  <cp:lastModifiedBy>Sam Tekien</cp:lastModifiedBy>
  <cp:lastPrinted>2020-02-20T23:57:00Z</cp:lastPrinted>
  <dcterms:created xsi:type="dcterms:W3CDTF">2013-01-30T19:32:32Z</dcterms:created>
  <dcterms:modified xsi:type="dcterms:W3CDTF">2023-01-22T23:28:48Z</dcterms:modified>
</cp:coreProperties>
</file>